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80" yWindow="200" windowWidth="8670" windowHeight="4850" firstSheet="2" activeTab="3"/>
  </bookViews>
  <sheets>
    <sheet name="Rach. zysków i strat-nowy układ" sheetId="9" r:id="rId1"/>
    <sheet name="Bilans" sheetId="4" r:id="rId2"/>
    <sheet name="Rachunek przepływów pieniężnych" sheetId="6" r:id="rId3"/>
    <sheet name="wskaźniki" sheetId="8" r:id="rId4"/>
    <sheet name="Rach. zysków i strat-do 1Q2014" sheetId="11" r:id="rId5"/>
    <sheet name="Rachunek zysków i strat-do 2010" sheetId="12" r:id="rId6"/>
  </sheets>
  <definedNames>
    <definedName name="_xlnm.Print_Area" localSheetId="1">Bilans!$B$3:$AE$78</definedName>
    <definedName name="_xlnm.Print_Area" localSheetId="4">'Rach. zysków i strat-do 1Q2014'!$A$1:$W$42</definedName>
    <definedName name="_xlnm.Print_Area" localSheetId="0">'Rach. zysków i strat-nowy układ'!$B$4:$T$40</definedName>
    <definedName name="_xlnm.Print_Area" localSheetId="2">'Rachunek przepływów pieniężnych'!$A$4:$AD$85</definedName>
    <definedName name="OLE_LINK3" localSheetId="2">'Rachunek przepływów pieniężnych'!$B$25</definedName>
  </definedNames>
  <calcPr calcId="145621"/>
</workbook>
</file>

<file path=xl/calcChain.xml><?xml version="1.0" encoding="utf-8"?>
<calcChain xmlns="http://schemas.openxmlformats.org/spreadsheetml/2006/main">
  <c r="AT7" i="8" l="1"/>
  <c r="AT3" i="8"/>
  <c r="AO3" i="8" l="1"/>
  <c r="AP34" i="4"/>
  <c r="AP74" i="6" l="1"/>
  <c r="AP57" i="6"/>
  <c r="AP7" i="6"/>
  <c r="AP33" i="6" s="1"/>
  <c r="AP36" i="6" s="1"/>
  <c r="AS68" i="4"/>
  <c r="AR68" i="4"/>
  <c r="AQ68" i="4"/>
  <c r="AP68" i="4"/>
  <c r="AS56" i="4"/>
  <c r="AR56" i="4"/>
  <c r="AQ56" i="4"/>
  <c r="AP56" i="4"/>
  <c r="AS45" i="4"/>
  <c r="AS47" i="4" s="1"/>
  <c r="AR45" i="4"/>
  <c r="AR47" i="4" s="1"/>
  <c r="AQ45" i="4"/>
  <c r="AQ47" i="4" s="1"/>
  <c r="AP45" i="4"/>
  <c r="AP47" i="4" s="1"/>
  <c r="AS34" i="4"/>
  <c r="AR34" i="4"/>
  <c r="AQ34" i="4"/>
  <c r="AS19" i="4"/>
  <c r="AR19" i="4"/>
  <c r="AR35" i="4" s="1"/>
  <c r="AQ19" i="4"/>
  <c r="AQ35" i="4" s="1"/>
  <c r="AP19" i="4"/>
  <c r="AP35" i="4" s="1"/>
  <c r="AP75" i="6" l="1"/>
  <c r="AS35" i="4"/>
  <c r="AS69" i="4"/>
  <c r="AS70" i="4" s="1"/>
  <c r="AP69" i="4"/>
  <c r="AR69" i="4"/>
  <c r="AR70" i="4" s="1"/>
  <c r="AQ69" i="4"/>
  <c r="AQ70" i="4" s="1"/>
  <c r="AP70" i="4" l="1"/>
  <c r="AT8" i="8"/>
  <c r="AQ29" i="9"/>
  <c r="AK29" i="9"/>
  <c r="AQ28" i="9"/>
  <c r="AK28" i="9"/>
  <c r="AQ26" i="9"/>
  <c r="AK26" i="9"/>
  <c r="AQ24" i="9"/>
  <c r="AK24" i="9"/>
  <c r="AQ22" i="9"/>
  <c r="AK22" i="9"/>
  <c r="AQ21" i="9"/>
  <c r="AK21" i="9"/>
  <c r="AQ19" i="9"/>
  <c r="AK19" i="9"/>
  <c r="AQ18" i="9"/>
  <c r="AK18" i="9"/>
  <c r="AQ17" i="9"/>
  <c r="AK17" i="9"/>
  <c r="AQ16" i="9"/>
  <c r="AK16" i="9"/>
  <c r="AQ15" i="9"/>
  <c r="AK15" i="9"/>
  <c r="AQ14" i="9"/>
  <c r="AK14" i="9"/>
  <c r="AQ13" i="9"/>
  <c r="AK13" i="9"/>
  <c r="AQ12" i="9"/>
  <c r="AK12" i="9"/>
  <c r="AQ11" i="9"/>
  <c r="AK11" i="9"/>
  <c r="AP10" i="9"/>
  <c r="AO10" i="9"/>
  <c r="AN10" i="9"/>
  <c r="AM10" i="9"/>
  <c r="AJ10" i="9"/>
  <c r="AI10" i="9"/>
  <c r="AH10" i="9"/>
  <c r="AG10" i="9"/>
  <c r="AQ9" i="9"/>
  <c r="AK9" i="9"/>
  <c r="AQ8" i="9"/>
  <c r="AK8" i="9"/>
  <c r="AQ7" i="9"/>
  <c r="AK7" i="9"/>
  <c r="AQ6" i="9"/>
  <c r="AK6" i="9"/>
  <c r="AP5" i="9"/>
  <c r="AO5" i="9"/>
  <c r="AN5" i="9"/>
  <c r="AM5" i="9"/>
  <c r="AJ5" i="9"/>
  <c r="AI5" i="9"/>
  <c r="AH5" i="9"/>
  <c r="AG5" i="9"/>
  <c r="AQ5" i="9" l="1"/>
  <c r="AQ20" i="9" s="1"/>
  <c r="AQ10" i="9"/>
  <c r="AO20" i="9"/>
  <c r="AO25" i="9" s="1"/>
  <c r="AO27" i="9" s="1"/>
  <c r="AO30" i="9" s="1"/>
  <c r="AH20" i="9"/>
  <c r="AH25" i="9" s="1"/>
  <c r="AH27" i="9" s="1"/>
  <c r="AN20" i="9"/>
  <c r="AN25" i="9" s="1"/>
  <c r="AN27" i="9" s="1"/>
  <c r="AN30" i="9" s="1"/>
  <c r="AM20" i="9"/>
  <c r="AJ20" i="9"/>
  <c r="AJ31" i="9" s="1"/>
  <c r="AJ32" i="9" s="1"/>
  <c r="AK5" i="9"/>
  <c r="AK10" i="9"/>
  <c r="AK20" i="9" s="1"/>
  <c r="AI20" i="9"/>
  <c r="AI25" i="9" s="1"/>
  <c r="AI27" i="9" s="1"/>
  <c r="AG20" i="9"/>
  <c r="AG25" i="9" s="1"/>
  <c r="AG27" i="9" s="1"/>
  <c r="AG30" i="9" s="1"/>
  <c r="AP20" i="9"/>
  <c r="AM31" i="9"/>
  <c r="AM32" i="9" s="1"/>
  <c r="AM25" i="9"/>
  <c r="AM27" i="9" s="1"/>
  <c r="AO31" i="9"/>
  <c r="AO32" i="9" s="1"/>
  <c r="AH31" i="9"/>
  <c r="AH32" i="9" s="1"/>
  <c r="AP31" i="9"/>
  <c r="AP32" i="9" s="1"/>
  <c r="AP25" i="9"/>
  <c r="AP27" i="9" s="1"/>
  <c r="AP30" i="9" s="1"/>
  <c r="AN31" i="9" l="1"/>
  <c r="AN32" i="9" s="1"/>
  <c r="AM30" i="9"/>
  <c r="AT6" i="8"/>
  <c r="AT4" i="8"/>
  <c r="AT5" i="8"/>
  <c r="AH30" i="9"/>
  <c r="AJ25" i="9"/>
  <c r="AJ27" i="9" s="1"/>
  <c r="AI30" i="9"/>
  <c r="AG31" i="9"/>
  <c r="AG32" i="9" s="1"/>
  <c r="AI31" i="9"/>
  <c r="AI32" i="9" s="1"/>
  <c r="AK31" i="9"/>
  <c r="AK32" i="9" s="1"/>
  <c r="AK25" i="9"/>
  <c r="AK27" i="9" s="1"/>
  <c r="AK30" i="9" s="1"/>
  <c r="AQ31" i="9"/>
  <c r="AQ32" i="9" s="1"/>
  <c r="AQ25" i="9"/>
  <c r="AQ27" i="9" s="1"/>
  <c r="AQ30" i="9" s="1"/>
  <c r="AJ30" i="9" l="1"/>
  <c r="AO19" i="4"/>
  <c r="AF24" i="9" l="1"/>
  <c r="AF29" i="9" l="1"/>
  <c r="AF28" i="9"/>
  <c r="AF26" i="9"/>
  <c r="AF9" i="9"/>
  <c r="AF8" i="9"/>
  <c r="AF7" i="9"/>
  <c r="AF6" i="9"/>
  <c r="AO68" i="4" l="1"/>
  <c r="AO56" i="4"/>
  <c r="AO45" i="4"/>
  <c r="AO47" i="4" s="1"/>
  <c r="AO34" i="4"/>
  <c r="AF10" i="9"/>
  <c r="AF5" i="9"/>
  <c r="AO74" i="6"/>
  <c r="AO57" i="6"/>
  <c r="AO7" i="6"/>
  <c r="AO33" i="6" s="1"/>
  <c r="AO36" i="6" s="1"/>
  <c r="AS7" i="8" l="1"/>
  <c r="AO75" i="6"/>
  <c r="AF20" i="9"/>
  <c r="AF31" i="9" s="1"/>
  <c r="AF32" i="9" s="1"/>
  <c r="AS3" i="8" s="1"/>
  <c r="AR7" i="8"/>
  <c r="AO69" i="4"/>
  <c r="AO70" i="4" s="1"/>
  <c r="AO35" i="4"/>
  <c r="AN74" i="6"/>
  <c r="AN57" i="6"/>
  <c r="AN7" i="6"/>
  <c r="AN33" i="6" s="1"/>
  <c r="AN36" i="6" s="1"/>
  <c r="AN68" i="4"/>
  <c r="AQ7" i="8" s="1"/>
  <c r="AN56" i="4"/>
  <c r="AN45" i="4"/>
  <c r="AN47" i="4" s="1"/>
  <c r="AN34" i="4"/>
  <c r="AN19" i="4"/>
  <c r="AD10" i="9"/>
  <c r="AE10" i="9"/>
  <c r="AD5" i="9"/>
  <c r="AE5" i="9"/>
  <c r="AS8" i="8" l="1"/>
  <c r="AF25" i="9"/>
  <c r="AF27" i="9" s="1"/>
  <c r="AE20" i="9"/>
  <c r="AR8" i="8"/>
  <c r="AN75" i="6"/>
  <c r="AN69" i="4"/>
  <c r="AN35" i="4"/>
  <c r="AD20" i="9"/>
  <c r="AM74" i="6"/>
  <c r="AM57" i="6"/>
  <c r="AM7" i="6"/>
  <c r="AM33" i="6" s="1"/>
  <c r="AM36" i="6" s="1"/>
  <c r="AM68" i="4"/>
  <c r="AM56" i="4"/>
  <c r="AM45" i="4"/>
  <c r="AM47" i="4" s="1"/>
  <c r="AM34" i="4"/>
  <c r="AM19" i="4"/>
  <c r="AS5" i="8" l="1"/>
  <c r="AS6" i="8"/>
  <c r="AF30" i="9"/>
  <c r="AS4" i="8"/>
  <c r="AE31" i="9"/>
  <c r="AE32" i="9" s="1"/>
  <c r="AR3" i="8" s="1"/>
  <c r="AE25" i="9"/>
  <c r="AE27" i="9" s="1"/>
  <c r="AE30" i="9" s="1"/>
  <c r="AN70" i="4"/>
  <c r="AQ8" i="8"/>
  <c r="AP7" i="8"/>
  <c r="AD31" i="9"/>
  <c r="AD32" i="9" s="1"/>
  <c r="AQ3" i="8" s="1"/>
  <c r="AD25" i="9"/>
  <c r="AD27" i="9" s="1"/>
  <c r="AM75" i="6"/>
  <c r="AM69" i="4"/>
  <c r="AM70" i="4" s="1"/>
  <c r="AM35" i="4"/>
  <c r="AP8" i="8" l="1"/>
  <c r="AR6" i="8"/>
  <c r="AR5" i="8"/>
  <c r="AR4" i="8"/>
  <c r="AD30" i="9"/>
  <c r="AQ6" i="8"/>
  <c r="AQ4" i="8"/>
  <c r="AQ5" i="8"/>
  <c r="AC10" i="9"/>
  <c r="AC5" i="9"/>
  <c r="AC20" i="9" l="1"/>
  <c r="AC25" i="9" s="1"/>
  <c r="AC27" i="9" s="1"/>
  <c r="C5" i="4"/>
  <c r="E67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Z64" i="4"/>
  <c r="Y64" i="4"/>
  <c r="X64" i="4"/>
  <c r="W64" i="4"/>
  <c r="V64" i="4"/>
  <c r="U64" i="4"/>
  <c r="T64" i="4"/>
  <c r="S64" i="4"/>
  <c r="R64" i="4"/>
  <c r="Q64" i="4"/>
  <c r="P64" i="4"/>
  <c r="O64" i="4"/>
  <c r="I64" i="4"/>
  <c r="G64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Z58" i="4"/>
  <c r="Y58" i="4"/>
  <c r="X58" i="4"/>
  <c r="W58" i="4"/>
  <c r="V58" i="4"/>
  <c r="U58" i="4"/>
  <c r="T58" i="4"/>
  <c r="S58" i="4"/>
  <c r="R58" i="4"/>
  <c r="Q58" i="4"/>
  <c r="P58" i="4"/>
  <c r="O58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Z53" i="4"/>
  <c r="Y53" i="4"/>
  <c r="X53" i="4"/>
  <c r="W53" i="4"/>
  <c r="V53" i="4"/>
  <c r="U53" i="4"/>
  <c r="T53" i="4"/>
  <c r="S53" i="4"/>
  <c r="Q53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C52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Z49" i="4"/>
  <c r="Y49" i="4"/>
  <c r="X49" i="4"/>
  <c r="W49" i="4"/>
  <c r="V49" i="4"/>
  <c r="U49" i="4"/>
  <c r="T49" i="4"/>
  <c r="S49" i="4"/>
  <c r="R49" i="4"/>
  <c r="Q49" i="4"/>
  <c r="P49" i="4"/>
  <c r="O49" i="4"/>
  <c r="Z48" i="4"/>
  <c r="Y48" i="4"/>
  <c r="X48" i="4"/>
  <c r="W48" i="4"/>
  <c r="V48" i="4"/>
  <c r="U48" i="4"/>
  <c r="T48" i="4"/>
  <c r="S48" i="4"/>
  <c r="R48" i="4"/>
  <c r="Q48" i="4"/>
  <c r="P48" i="4"/>
  <c r="O48" i="4"/>
  <c r="I48" i="4"/>
  <c r="H48" i="4"/>
  <c r="G48" i="4"/>
  <c r="F48" i="4"/>
  <c r="E48" i="4"/>
  <c r="C48" i="4"/>
  <c r="E46" i="4"/>
  <c r="D46" i="4"/>
  <c r="C46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Y43" i="4"/>
  <c r="X43" i="4"/>
  <c r="W43" i="4"/>
  <c r="V43" i="4"/>
  <c r="U43" i="4"/>
  <c r="T43" i="4"/>
  <c r="S43" i="4"/>
  <c r="R42" i="4"/>
  <c r="P42" i="4"/>
  <c r="O42" i="4"/>
  <c r="R41" i="4"/>
  <c r="P41" i="4"/>
  <c r="O41" i="4"/>
  <c r="Z40" i="4"/>
  <c r="Y40" i="4"/>
  <c r="X40" i="4"/>
  <c r="W40" i="4"/>
  <c r="V40" i="4"/>
  <c r="U40" i="4"/>
  <c r="T40" i="4"/>
  <c r="S40" i="4"/>
  <c r="Q40" i="4"/>
  <c r="R39" i="4"/>
  <c r="P39" i="4"/>
  <c r="O39" i="4"/>
  <c r="N39" i="4"/>
  <c r="M39" i="4"/>
  <c r="L39" i="4"/>
  <c r="K39" i="4"/>
  <c r="J39" i="4"/>
  <c r="I39" i="4"/>
  <c r="H39" i="4"/>
  <c r="G39" i="4"/>
  <c r="F39" i="4"/>
  <c r="R38" i="4"/>
  <c r="P38" i="4"/>
  <c r="O38" i="4"/>
  <c r="N38" i="4"/>
  <c r="M38" i="4"/>
  <c r="L38" i="4"/>
  <c r="K38" i="4"/>
  <c r="J38" i="4"/>
  <c r="I38" i="4"/>
  <c r="H38" i="4"/>
  <c r="G38" i="4"/>
  <c r="F38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H33" i="4"/>
  <c r="G33" i="4"/>
  <c r="F33" i="4"/>
  <c r="E33" i="4"/>
  <c r="D33" i="4"/>
  <c r="C33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H32" i="4"/>
  <c r="G32" i="4"/>
  <c r="F32" i="4"/>
  <c r="E32" i="4"/>
  <c r="D32" i="4"/>
  <c r="C32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F31" i="4"/>
  <c r="E31" i="4"/>
  <c r="D31" i="4"/>
  <c r="C31" i="4"/>
  <c r="AC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J30" i="4"/>
  <c r="H30" i="4"/>
  <c r="G30" i="4"/>
  <c r="F30" i="4"/>
  <c r="D30" i="4"/>
  <c r="C30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F28" i="4"/>
  <c r="E28" i="4"/>
  <c r="D28" i="4"/>
  <c r="C28" i="4"/>
  <c r="Z27" i="4"/>
  <c r="Y27" i="4"/>
  <c r="X27" i="4"/>
  <c r="W27" i="4"/>
  <c r="V27" i="4"/>
  <c r="U27" i="4"/>
  <c r="T27" i="4"/>
  <c r="S27" i="4"/>
  <c r="Q27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F25" i="4"/>
  <c r="E25" i="4"/>
  <c r="D25" i="4"/>
  <c r="C25" i="4"/>
  <c r="AD24" i="4"/>
  <c r="AC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H24" i="4"/>
  <c r="G24" i="4"/>
  <c r="F24" i="4"/>
  <c r="E24" i="4"/>
  <c r="D24" i="4"/>
  <c r="C24" i="4"/>
  <c r="AD23" i="4"/>
  <c r="AC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H23" i="4"/>
  <c r="G23" i="4"/>
  <c r="F23" i="4"/>
  <c r="E23" i="4"/>
  <c r="D23" i="4"/>
  <c r="C23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F22" i="4"/>
  <c r="E22" i="4"/>
  <c r="D22" i="4"/>
  <c r="C22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H20" i="4"/>
  <c r="G20" i="4"/>
  <c r="F20" i="4"/>
  <c r="E20" i="4"/>
  <c r="D20" i="4"/>
  <c r="C20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H18" i="4"/>
  <c r="G18" i="4"/>
  <c r="F18" i="4"/>
  <c r="E18" i="4"/>
  <c r="D18" i="4"/>
  <c r="C18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H15" i="4"/>
  <c r="F15" i="4"/>
  <c r="E15" i="4"/>
  <c r="D15" i="4"/>
  <c r="C15" i="4"/>
  <c r="Z13" i="4"/>
  <c r="Y13" i="4"/>
  <c r="X13" i="4"/>
  <c r="W13" i="4"/>
  <c r="V13" i="4"/>
  <c r="U13" i="4"/>
  <c r="T13" i="4"/>
  <c r="S13" i="4"/>
  <c r="Q13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H12" i="4"/>
  <c r="F12" i="4"/>
  <c r="E12" i="4"/>
  <c r="D12" i="4"/>
  <c r="C12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H11" i="4"/>
  <c r="G11" i="4"/>
  <c r="F11" i="4"/>
  <c r="E11" i="4"/>
  <c r="D11" i="4"/>
  <c r="C11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H10" i="4"/>
  <c r="F10" i="4"/>
  <c r="E10" i="4"/>
  <c r="D10" i="4"/>
  <c r="C10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H9" i="4"/>
  <c r="G9" i="4"/>
  <c r="F9" i="4"/>
  <c r="E9" i="4"/>
  <c r="D9" i="4"/>
  <c r="C9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H8" i="4"/>
  <c r="G8" i="4"/>
  <c r="F8" i="4"/>
  <c r="E8" i="4"/>
  <c r="D8" i="4"/>
  <c r="C8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H7" i="4"/>
  <c r="G7" i="4"/>
  <c r="F7" i="4"/>
  <c r="E7" i="4"/>
  <c r="D7" i="4"/>
  <c r="C7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H6" i="4"/>
  <c r="F6" i="4"/>
  <c r="E6" i="4"/>
  <c r="D6" i="4"/>
  <c r="C6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H5" i="4"/>
  <c r="F5" i="4"/>
  <c r="E5" i="4"/>
  <c r="D5" i="4"/>
  <c r="AP4" i="8" l="1"/>
  <c r="AP6" i="8"/>
  <c r="AP5" i="8"/>
  <c r="AC30" i="9"/>
  <c r="AC31" i="9"/>
  <c r="AC32" i="9" s="1"/>
  <c r="AP3" i="8" s="1"/>
  <c r="AL74" i="6"/>
  <c r="AL57" i="6"/>
  <c r="AL7" i="6"/>
  <c r="AL33" i="6" s="1"/>
  <c r="AL36" i="6" s="1"/>
  <c r="AL68" i="4"/>
  <c r="AL56" i="4"/>
  <c r="AL45" i="4"/>
  <c r="AL47" i="4" s="1"/>
  <c r="AL34" i="4"/>
  <c r="AL19" i="4"/>
  <c r="AH19" i="4"/>
  <c r="AH34" i="4"/>
  <c r="AH45" i="4"/>
  <c r="AH47" i="4" s="1"/>
  <c r="AH56" i="4"/>
  <c r="AH68" i="4"/>
  <c r="U10" i="9"/>
  <c r="T10" i="9"/>
  <c r="S10" i="9"/>
  <c r="R10" i="9"/>
  <c r="P10" i="9"/>
  <c r="O10" i="9"/>
  <c r="N10" i="9"/>
  <c r="M10" i="9"/>
  <c r="K10" i="9"/>
  <c r="J10" i="9"/>
  <c r="I10" i="9"/>
  <c r="H10" i="9"/>
  <c r="F10" i="9"/>
  <c r="E10" i="9"/>
  <c r="D10" i="9"/>
  <c r="C10" i="9"/>
  <c r="AB10" i="9"/>
  <c r="Z10" i="9"/>
  <c r="Y10" i="9"/>
  <c r="X10" i="9"/>
  <c r="W10" i="9"/>
  <c r="V10" i="9"/>
  <c r="AA13" i="9"/>
  <c r="Q13" i="9"/>
  <c r="L13" i="9"/>
  <c r="G13" i="9"/>
  <c r="AA12" i="9"/>
  <c r="Q12" i="9"/>
  <c r="L12" i="9"/>
  <c r="G12" i="9"/>
  <c r="AA11" i="9"/>
  <c r="Q11" i="9"/>
  <c r="L11" i="9"/>
  <c r="G11" i="9"/>
  <c r="AB5" i="9"/>
  <c r="AH35" i="4" l="1"/>
  <c r="AH69" i="4"/>
  <c r="AO7" i="8"/>
  <c r="AH70" i="4"/>
  <c r="AL75" i="6"/>
  <c r="AL69" i="4"/>
  <c r="AL70" i="4" s="1"/>
  <c r="AL35" i="4"/>
  <c r="AB20" i="9"/>
  <c r="AO8" i="8" l="1"/>
  <c r="AB25" i="9"/>
  <c r="AB27" i="9" s="1"/>
  <c r="AB31" i="9"/>
  <c r="AB32" i="9" s="1"/>
  <c r="AB30" i="9" l="1"/>
  <c r="AO4" i="8"/>
  <c r="AO6" i="8"/>
  <c r="AO5" i="8"/>
  <c r="AK74" i="6"/>
  <c r="AK57" i="6"/>
  <c r="AK7" i="6"/>
  <c r="AK33" i="6" s="1"/>
  <c r="AK36" i="6" s="1"/>
  <c r="AA29" i="9"/>
  <c r="AA28" i="9"/>
  <c r="AA26" i="9"/>
  <c r="AA23" i="9"/>
  <c r="AA22" i="9"/>
  <c r="AA21" i="9"/>
  <c r="AA19" i="9"/>
  <c r="AA18" i="9"/>
  <c r="AA17" i="9"/>
  <c r="AA16" i="9"/>
  <c r="AA15" i="9"/>
  <c r="AA14" i="9"/>
  <c r="AA7" i="9"/>
  <c r="AA8" i="9"/>
  <c r="AA9" i="9"/>
  <c r="AA6" i="9"/>
  <c r="Z5" i="9"/>
  <c r="AK68" i="4"/>
  <c r="AK56" i="4"/>
  <c r="AK45" i="4"/>
  <c r="AK47" i="4" s="1"/>
  <c r="AK34" i="4"/>
  <c r="AK19" i="4"/>
  <c r="AN7" i="8" l="1"/>
  <c r="AA10" i="9"/>
  <c r="AA5" i="9"/>
  <c r="AK69" i="4"/>
  <c r="AK35" i="4"/>
  <c r="Z20" i="9"/>
  <c r="AK75" i="6"/>
  <c r="AM7" i="8"/>
  <c r="Z25" i="9" l="1"/>
  <c r="Z27" i="9" s="1"/>
  <c r="Z30" i="9" s="1"/>
  <c r="Z31" i="9"/>
  <c r="Z32" i="9" s="1"/>
  <c r="AM3" i="8" s="1"/>
  <c r="AA20" i="9"/>
  <c r="AA31" i="9" s="1"/>
  <c r="AA32" i="9" s="1"/>
  <c r="AN3" i="8" s="1"/>
  <c r="AN8" i="8"/>
  <c r="AK70" i="4"/>
  <c r="AM8" i="8"/>
  <c r="AM4" i="8"/>
  <c r="AJ74" i="6"/>
  <c r="AJ57" i="6"/>
  <c r="AJ7" i="6"/>
  <c r="AJ33" i="6" s="1"/>
  <c r="AJ36" i="6" s="1"/>
  <c r="AJ68" i="4"/>
  <c r="AJ56" i="4"/>
  <c r="AJ45" i="4"/>
  <c r="AJ47" i="4" s="1"/>
  <c r="AJ34" i="4"/>
  <c r="AJ19" i="4"/>
  <c r="Y5" i="9"/>
  <c r="Y20" i="9" s="1"/>
  <c r="Y31" i="9" s="1"/>
  <c r="AA25" i="9" l="1"/>
  <c r="AA27" i="9" s="1"/>
  <c r="AN5" i="8" s="1"/>
  <c r="AJ35" i="4"/>
  <c r="AM6" i="8"/>
  <c r="AM5" i="8"/>
  <c r="AA30" i="9"/>
  <c r="AJ75" i="6"/>
  <c r="AJ69" i="4"/>
  <c r="AJ70" i="4" s="1"/>
  <c r="AL7" i="8"/>
  <c r="Y25" i="9"/>
  <c r="Y27" i="9" s="1"/>
  <c r="AL6" i="8" s="1"/>
  <c r="Y32" i="9"/>
  <c r="AL3" i="8" s="1"/>
  <c r="AB56" i="4"/>
  <c r="AA56" i="4"/>
  <c r="AN4" i="8" l="1"/>
  <c r="AN6" i="8"/>
  <c r="Y30" i="9"/>
  <c r="AL4" i="8"/>
  <c r="AL5" i="8"/>
  <c r="AL8" i="8"/>
  <c r="AI34" i="4"/>
  <c r="AI74" i="6" l="1"/>
  <c r="AI57" i="6"/>
  <c r="AI7" i="6"/>
  <c r="AI33" i="6" s="1"/>
  <c r="AI36" i="6" s="1"/>
  <c r="AI68" i="4"/>
  <c r="AK7" i="8" s="1"/>
  <c r="AI56" i="4"/>
  <c r="AI45" i="4"/>
  <c r="AI47" i="4" s="1"/>
  <c r="AI19" i="4"/>
  <c r="AI35" i="4" s="1"/>
  <c r="X5" i="9"/>
  <c r="AI75" i="6" l="1"/>
  <c r="AI69" i="4"/>
  <c r="AI70" i="4" s="1"/>
  <c r="X20" i="9"/>
  <c r="X25" i="9" l="1"/>
  <c r="X27" i="9" s="1"/>
  <c r="X30" i="9" s="1"/>
  <c r="X31" i="9"/>
  <c r="X32" i="9" s="1"/>
  <c r="AK3" i="8" s="1"/>
  <c r="AK8" i="8"/>
  <c r="AH74" i="6"/>
  <c r="AH57" i="6"/>
  <c r="AH7" i="6"/>
  <c r="AH33" i="6" s="1"/>
  <c r="AH36" i="6" s="1"/>
  <c r="W5" i="9"/>
  <c r="AK4" i="8" l="1"/>
  <c r="AK5" i="8"/>
  <c r="AK6" i="8"/>
  <c r="W20" i="9"/>
  <c r="AJ7" i="8"/>
  <c r="AH75" i="6"/>
  <c r="AB32" i="6"/>
  <c r="AA32" i="6"/>
  <c r="AC32" i="6"/>
  <c r="W25" i="9" l="1"/>
  <c r="W27" i="9" s="1"/>
  <c r="AJ4" i="8" s="1"/>
  <c r="W31" i="9"/>
  <c r="W32" i="9" s="1"/>
  <c r="AJ3" i="8" s="1"/>
  <c r="AJ6" i="8"/>
  <c r="AJ8" i="8"/>
  <c r="AG74" i="6"/>
  <c r="AG57" i="6"/>
  <c r="AG7" i="6"/>
  <c r="AG33" i="6" s="1"/>
  <c r="AG36" i="6" s="1"/>
  <c r="AG68" i="4"/>
  <c r="AG56" i="4"/>
  <c r="AG45" i="4"/>
  <c r="AG47" i="4" s="1"/>
  <c r="AG34" i="4"/>
  <c r="AG19" i="4"/>
  <c r="U5" i="9"/>
  <c r="W30" i="9" l="1"/>
  <c r="AJ5" i="8"/>
  <c r="AG35" i="4"/>
  <c r="AH7" i="8"/>
  <c r="U20" i="9"/>
  <c r="U31" i="9" s="1"/>
  <c r="U32" i="9" s="1"/>
  <c r="AH3" i="8" s="1"/>
  <c r="AI7" i="8"/>
  <c r="AG75" i="6"/>
  <c r="AG78" i="6" s="1"/>
  <c r="AG69" i="4"/>
  <c r="V5" i="9"/>
  <c r="V20" i="9" s="1"/>
  <c r="V31" i="9" s="1"/>
  <c r="AF74" i="6"/>
  <c r="AF57" i="6"/>
  <c r="AF7" i="6"/>
  <c r="AF68" i="4"/>
  <c r="AF56" i="4"/>
  <c r="AF45" i="4"/>
  <c r="AF47" i="4" s="1"/>
  <c r="AF34" i="4"/>
  <c r="AF19" i="4"/>
  <c r="U25" i="9" l="1"/>
  <c r="U27" i="9" s="1"/>
  <c r="U30" i="9" s="1"/>
  <c r="AH76" i="6"/>
  <c r="AH78" i="6" s="1"/>
  <c r="AK76" i="6"/>
  <c r="AK78" i="6" s="1"/>
  <c r="AO76" i="6" s="1"/>
  <c r="AO78" i="6" s="1"/>
  <c r="AP76" i="6" s="1"/>
  <c r="AP78" i="6" s="1"/>
  <c r="AJ76" i="6"/>
  <c r="AJ78" i="6" s="1"/>
  <c r="AI76" i="6"/>
  <c r="AI78" i="6" s="1"/>
  <c r="AH8" i="8"/>
  <c r="AI8" i="8"/>
  <c r="AG70" i="4"/>
  <c r="AF69" i="4"/>
  <c r="AF70" i="4" s="1"/>
  <c r="AG7" i="8"/>
  <c r="V32" i="9"/>
  <c r="AI3" i="8" s="1"/>
  <c r="V25" i="9"/>
  <c r="V27" i="9" s="1"/>
  <c r="AF35" i="4"/>
  <c r="AH5" i="8" l="1"/>
  <c r="AH4" i="8"/>
  <c r="AH6" i="8"/>
  <c r="U28" i="9"/>
  <c r="AL76" i="6"/>
  <c r="AL78" i="6" s="1"/>
  <c r="AN76" i="6"/>
  <c r="AN78" i="6" s="1"/>
  <c r="AM76" i="6"/>
  <c r="V30" i="9"/>
  <c r="V28" i="9"/>
  <c r="AI5" i="8"/>
  <c r="AI4" i="8"/>
  <c r="AI6" i="8"/>
  <c r="AG8" i="8"/>
  <c r="T5" i="9"/>
  <c r="AM78" i="6" l="1"/>
  <c r="T20" i="9"/>
  <c r="AE74" i="6"/>
  <c r="AE57" i="6"/>
  <c r="AE7" i="6"/>
  <c r="AE33" i="6" s="1"/>
  <c r="AE36" i="6" s="1"/>
  <c r="AE56" i="4"/>
  <c r="AE34" i="4"/>
  <c r="AE68" i="4"/>
  <c r="AE45" i="4"/>
  <c r="AE47" i="4" s="1"/>
  <c r="AE19" i="4"/>
  <c r="S5" i="9"/>
  <c r="AD68" i="4"/>
  <c r="AC68" i="4"/>
  <c r="AD56" i="4"/>
  <c r="AC56" i="4"/>
  <c r="AD19" i="4"/>
  <c r="AC19" i="4"/>
  <c r="AD74" i="6"/>
  <c r="AD57" i="6"/>
  <c r="AD7" i="6"/>
  <c r="AD33" i="6" s="1"/>
  <c r="AD36" i="6" s="1"/>
  <c r="AD45" i="4"/>
  <c r="AD47" i="4" s="1"/>
  <c r="R5" i="9"/>
  <c r="T25" i="9" l="1"/>
  <c r="T27" i="9" s="1"/>
  <c r="T30" i="9" s="1"/>
  <c r="T31" i="9"/>
  <c r="T32" i="9" s="1"/>
  <c r="AG3" i="8" s="1"/>
  <c r="AE69" i="4"/>
  <c r="AE70" i="4" s="1"/>
  <c r="AE75" i="6"/>
  <c r="AE78" i="6" s="1"/>
  <c r="S20" i="9"/>
  <c r="AF7" i="8"/>
  <c r="AE35" i="4"/>
  <c r="AD75" i="6"/>
  <c r="AD78" i="6" s="1"/>
  <c r="AD69" i="4"/>
  <c r="R20" i="9"/>
  <c r="AC74" i="6"/>
  <c r="AC57" i="6"/>
  <c r="AC7" i="6"/>
  <c r="AC45" i="4"/>
  <c r="AC47" i="4" s="1"/>
  <c r="P5" i="9"/>
  <c r="Q26" i="9"/>
  <c r="Q23" i="9"/>
  <c r="Q22" i="9"/>
  <c r="Q21" i="9"/>
  <c r="Q19" i="9"/>
  <c r="Q18" i="9"/>
  <c r="Q17" i="9"/>
  <c r="Q16" i="9"/>
  <c r="Q15" i="9"/>
  <c r="Q14" i="9"/>
  <c r="Q9" i="9"/>
  <c r="Q8" i="9"/>
  <c r="Q7" i="9"/>
  <c r="Q6" i="9"/>
  <c r="AG4" i="8" l="1"/>
  <c r="T28" i="9"/>
  <c r="AG5" i="8"/>
  <c r="AG6" i="8"/>
  <c r="S25" i="9"/>
  <c r="S27" i="9" s="1"/>
  <c r="AF4" i="8" s="1"/>
  <c r="S31" i="9"/>
  <c r="S32" i="9" s="1"/>
  <c r="AF3" i="8" s="1"/>
  <c r="R25" i="9"/>
  <c r="R27" i="9" s="1"/>
  <c r="AE4" i="8" s="1"/>
  <c r="R31" i="9"/>
  <c r="R32" i="9" s="1"/>
  <c r="AE3" i="8" s="1"/>
  <c r="Q10" i="9"/>
  <c r="S30" i="9"/>
  <c r="AF8" i="8"/>
  <c r="AD70" i="4"/>
  <c r="AC69" i="4"/>
  <c r="P20" i="9"/>
  <c r="Q5" i="9"/>
  <c r="O5" i="9"/>
  <c r="AB74" i="6"/>
  <c r="AB57" i="6"/>
  <c r="AB7" i="6"/>
  <c r="AB68" i="4"/>
  <c r="AB45" i="4"/>
  <c r="AB47" i="4" s="1"/>
  <c r="AB34" i="4"/>
  <c r="AB19" i="4"/>
  <c r="G17" i="9"/>
  <c r="L17" i="9"/>
  <c r="AF6" i="6" l="1"/>
  <c r="AF33" i="6" s="1"/>
  <c r="AF36" i="6" s="1"/>
  <c r="AF75" i="6" s="1"/>
  <c r="AF78" i="6" s="1"/>
  <c r="AE6" i="8"/>
  <c r="AF5" i="8"/>
  <c r="R28" i="9"/>
  <c r="AF6" i="8"/>
  <c r="S28" i="9"/>
  <c r="P31" i="9"/>
  <c r="P32" i="9" s="1"/>
  <c r="AC3" i="8" s="1"/>
  <c r="R30" i="9"/>
  <c r="AC70" i="4"/>
  <c r="AB7" i="8"/>
  <c r="O20" i="9"/>
  <c r="P25" i="9"/>
  <c r="P27" i="9" s="1"/>
  <c r="Q20" i="9"/>
  <c r="Q31" i="9" s="1"/>
  <c r="AB33" i="6"/>
  <c r="AB36" i="6" s="1"/>
  <c r="AB75" i="6" s="1"/>
  <c r="AB78" i="6" s="1"/>
  <c r="AB69" i="4"/>
  <c r="AB35" i="4"/>
  <c r="O31" i="9" l="1"/>
  <c r="O32" i="9" s="1"/>
  <c r="AB3" i="8" s="1"/>
  <c r="P30" i="9"/>
  <c r="P28" i="9"/>
  <c r="AC6" i="8"/>
  <c r="AC4" i="8"/>
  <c r="AB70" i="4"/>
  <c r="AB8" i="8"/>
  <c r="O25" i="9"/>
  <c r="O27" i="9" s="1"/>
  <c r="Q25" i="9"/>
  <c r="I5" i="12"/>
  <c r="E2" i="11"/>
  <c r="F2" i="11"/>
  <c r="F23" i="11" s="1"/>
  <c r="J2" i="11"/>
  <c r="K2" i="11"/>
  <c r="M2" i="11"/>
  <c r="N2" i="11"/>
  <c r="N23" i="11" s="1"/>
  <c r="O2" i="11"/>
  <c r="P2" i="11"/>
  <c r="Q2" i="11"/>
  <c r="R2" i="11"/>
  <c r="R23" i="11" s="1"/>
  <c r="S2" i="11"/>
  <c r="T2" i="11"/>
  <c r="U2" i="11"/>
  <c r="V2" i="11"/>
  <c r="V23" i="11" s="1"/>
  <c r="W2" i="11"/>
  <c r="B8" i="11"/>
  <c r="B23" i="11" s="1"/>
  <c r="B29" i="11" s="1"/>
  <c r="B31" i="11" s="1"/>
  <c r="C8" i="11"/>
  <c r="D8" i="11"/>
  <c r="E8" i="11"/>
  <c r="F8" i="11"/>
  <c r="G8" i="11"/>
  <c r="G23" i="11" s="1"/>
  <c r="H8" i="11"/>
  <c r="H23" i="11" s="1"/>
  <c r="H29" i="11" s="1"/>
  <c r="H31" i="11" s="1"/>
  <c r="I8" i="11"/>
  <c r="J8" i="11"/>
  <c r="K8" i="11"/>
  <c r="L8" i="11"/>
  <c r="L23" i="11" s="1"/>
  <c r="L29" i="11" s="1"/>
  <c r="L31" i="11" s="1"/>
  <c r="M8" i="11"/>
  <c r="N8" i="11"/>
  <c r="O8" i="11"/>
  <c r="P8" i="11"/>
  <c r="Q8" i="11"/>
  <c r="R8" i="11"/>
  <c r="S8" i="11"/>
  <c r="T8" i="11"/>
  <c r="T23" i="11" s="1"/>
  <c r="T29" i="11" s="1"/>
  <c r="T31" i="11" s="1"/>
  <c r="U8" i="11"/>
  <c r="V8" i="11"/>
  <c r="W8" i="11"/>
  <c r="I22" i="11"/>
  <c r="J22" i="11"/>
  <c r="K22" i="11"/>
  <c r="C23" i="11"/>
  <c r="C29" i="11" s="1"/>
  <c r="C31" i="11" s="1"/>
  <c r="D23" i="11"/>
  <c r="D33" i="11" s="1"/>
  <c r="D34" i="11" s="1"/>
  <c r="P23" i="11"/>
  <c r="P33" i="11" s="1"/>
  <c r="P34" i="11" s="1"/>
  <c r="C33" i="11"/>
  <c r="C34" i="11" s="1"/>
  <c r="O30" i="9" l="1"/>
  <c r="O28" i="9"/>
  <c r="G29" i="11"/>
  <c r="G31" i="11" s="1"/>
  <c r="G33" i="11"/>
  <c r="AB4" i="8"/>
  <c r="AB5" i="8"/>
  <c r="AB6" i="8"/>
  <c r="U23" i="11"/>
  <c r="Q23" i="11"/>
  <c r="Q33" i="11" s="1"/>
  <c r="Q34" i="11" s="1"/>
  <c r="M23" i="11"/>
  <c r="I23" i="11"/>
  <c r="E23" i="11"/>
  <c r="W23" i="11"/>
  <c r="W33" i="11" s="1"/>
  <c r="W34" i="11" s="1"/>
  <c r="S23" i="11"/>
  <c r="O23" i="11"/>
  <c r="J23" i="11"/>
  <c r="K23" i="11"/>
  <c r="K29" i="11" s="1"/>
  <c r="K31" i="11" s="1"/>
  <c r="Q32" i="9"/>
  <c r="AD3" i="8" s="1"/>
  <c r="Q27" i="9"/>
  <c r="V33" i="11"/>
  <c r="V34" i="11" s="1"/>
  <c r="V29" i="11"/>
  <c r="V31" i="11" s="1"/>
  <c r="R33" i="11"/>
  <c r="R34" i="11" s="1"/>
  <c r="R29" i="11"/>
  <c r="R31" i="11" s="1"/>
  <c r="N33" i="11"/>
  <c r="N34" i="11" s="1"/>
  <c r="N29" i="11"/>
  <c r="N31" i="11" s="1"/>
  <c r="F33" i="11"/>
  <c r="F34" i="11" s="1"/>
  <c r="F29" i="11"/>
  <c r="F31" i="11" s="1"/>
  <c r="U29" i="11"/>
  <c r="U31" i="11" s="1"/>
  <c r="U33" i="11"/>
  <c r="U34" i="11" s="1"/>
  <c r="M29" i="11"/>
  <c r="M31" i="11" s="1"/>
  <c r="M33" i="11"/>
  <c r="M34" i="11" s="1"/>
  <c r="I29" i="11"/>
  <c r="I31" i="11" s="1"/>
  <c r="I33" i="11"/>
  <c r="I34" i="11" s="1"/>
  <c r="E29" i="11"/>
  <c r="E31" i="11" s="1"/>
  <c r="E33" i="11"/>
  <c r="E34" i="11" s="1"/>
  <c r="S29" i="11"/>
  <c r="S31" i="11" s="1"/>
  <c r="S33" i="11"/>
  <c r="S34" i="11" s="1"/>
  <c r="O29" i="11"/>
  <c r="O31" i="11" s="1"/>
  <c r="O33" i="11"/>
  <c r="O34" i="11" s="1"/>
  <c r="J33" i="11"/>
  <c r="J34" i="11" s="1"/>
  <c r="J29" i="11"/>
  <c r="J31" i="11" s="1"/>
  <c r="T33" i="11"/>
  <c r="T34" i="11" s="1"/>
  <c r="L33" i="11"/>
  <c r="L34" i="11" s="1"/>
  <c r="H33" i="11"/>
  <c r="H34" i="11" s="1"/>
  <c r="P29" i="11"/>
  <c r="P31" i="11" s="1"/>
  <c r="D29" i="11"/>
  <c r="D31" i="11" s="1"/>
  <c r="Q30" i="9" l="1"/>
  <c r="Q28" i="9"/>
  <c r="K33" i="11"/>
  <c r="K34" i="11" s="1"/>
  <c r="W29" i="11"/>
  <c r="W31" i="11" s="1"/>
  <c r="Q29" i="11"/>
  <c r="Q31" i="11" s="1"/>
  <c r="AD6" i="8"/>
  <c r="AD4" i="8"/>
  <c r="AC6" i="6"/>
  <c r="AC33" i="6" s="1"/>
  <c r="T7" i="6"/>
  <c r="S7" i="6"/>
  <c r="R7" i="6"/>
  <c r="Q7" i="6"/>
  <c r="Q33" i="6" s="1"/>
  <c r="P7" i="6"/>
  <c r="P33" i="6" s="1"/>
  <c r="O7" i="6"/>
  <c r="O33" i="6" s="1"/>
  <c r="N7" i="6"/>
  <c r="X63" i="6"/>
  <c r="W63" i="6"/>
  <c r="V63" i="6"/>
  <c r="U63" i="6"/>
  <c r="T63" i="6"/>
  <c r="S63" i="6"/>
  <c r="AC36" i="6" l="1"/>
  <c r="W74" i="6"/>
  <c r="V74" i="6"/>
  <c r="S74" i="6"/>
  <c r="K74" i="6"/>
  <c r="L74" i="6"/>
  <c r="M74" i="6"/>
  <c r="K57" i="6"/>
  <c r="L57" i="6"/>
  <c r="M57" i="6"/>
  <c r="I74" i="6"/>
  <c r="J74" i="6"/>
  <c r="I57" i="6"/>
  <c r="J57" i="6"/>
  <c r="H74" i="6"/>
  <c r="H57" i="6"/>
  <c r="G74" i="6"/>
  <c r="G57" i="6"/>
  <c r="C74" i="6"/>
  <c r="D74" i="6"/>
  <c r="E74" i="6"/>
  <c r="C57" i="6"/>
  <c r="D57" i="6"/>
  <c r="E57" i="6"/>
  <c r="F74" i="6"/>
  <c r="F57" i="6"/>
  <c r="Y46" i="4"/>
  <c r="Z46" i="4"/>
  <c r="X46" i="4"/>
  <c r="I18" i="4"/>
  <c r="I5" i="4"/>
  <c r="I15" i="4"/>
  <c r="I10" i="4"/>
  <c r="I6" i="4"/>
  <c r="G31" i="4"/>
  <c r="G28" i="4"/>
  <c r="G25" i="4"/>
  <c r="G22" i="4"/>
  <c r="G15" i="4"/>
  <c r="G12" i="4"/>
  <c r="G10" i="4"/>
  <c r="G6" i="4"/>
  <c r="O74" i="6"/>
  <c r="P74" i="6"/>
  <c r="Q74" i="6"/>
  <c r="R74" i="6"/>
  <c r="T74" i="6"/>
  <c r="U74" i="6"/>
  <c r="X74" i="6"/>
  <c r="Y74" i="6"/>
  <c r="Z74" i="6"/>
  <c r="AA74" i="6"/>
  <c r="N74" i="6"/>
  <c r="O57" i="6"/>
  <c r="P57" i="6"/>
  <c r="Q57" i="6"/>
  <c r="R57" i="6"/>
  <c r="S57" i="6"/>
  <c r="T57" i="6"/>
  <c r="U57" i="6"/>
  <c r="V57" i="6"/>
  <c r="W57" i="6"/>
  <c r="X57" i="6"/>
  <c r="Y57" i="6"/>
  <c r="Z57" i="6"/>
  <c r="AA57" i="6"/>
  <c r="N57" i="6"/>
  <c r="D56" i="4" l="1"/>
  <c r="N56" i="4"/>
  <c r="AC75" i="6"/>
  <c r="I30" i="4"/>
  <c r="I12" i="4"/>
  <c r="I7" i="4"/>
  <c r="I32" i="4"/>
  <c r="I24" i="4"/>
  <c r="I11" i="4"/>
  <c r="I20" i="4"/>
  <c r="I8" i="4"/>
  <c r="I33" i="4"/>
  <c r="I23" i="4"/>
  <c r="I9" i="4"/>
  <c r="AA7" i="6"/>
  <c r="AA68" i="4"/>
  <c r="AA45" i="4"/>
  <c r="AA47" i="4" s="1"/>
  <c r="AA34" i="4"/>
  <c r="AA19" i="4"/>
  <c r="N5" i="9"/>
  <c r="I5" i="9"/>
  <c r="J5" i="9"/>
  <c r="K5" i="9"/>
  <c r="H5" i="9"/>
  <c r="L26" i="9"/>
  <c r="G26" i="9"/>
  <c r="L22" i="9"/>
  <c r="L23" i="9"/>
  <c r="L21" i="9"/>
  <c r="G22" i="9"/>
  <c r="G23" i="9"/>
  <c r="G21" i="9"/>
  <c r="L15" i="9"/>
  <c r="L16" i="9"/>
  <c r="L18" i="9"/>
  <c r="L19" i="9"/>
  <c r="L14" i="9"/>
  <c r="G15" i="9"/>
  <c r="G16" i="9"/>
  <c r="G18" i="9"/>
  <c r="G19" i="9"/>
  <c r="G14" i="9"/>
  <c r="L7" i="9"/>
  <c r="L8" i="9"/>
  <c r="L9" i="9"/>
  <c r="L6" i="9"/>
  <c r="G7" i="9"/>
  <c r="G8" i="9"/>
  <c r="G9" i="9"/>
  <c r="G6" i="9"/>
  <c r="D5" i="9"/>
  <c r="E5" i="9"/>
  <c r="F5" i="9"/>
  <c r="C5" i="9"/>
  <c r="G10" i="9" l="1"/>
  <c r="L10" i="9"/>
  <c r="O56" i="4"/>
  <c r="K68" i="4"/>
  <c r="X45" i="4"/>
  <c r="X47" i="4" s="1"/>
  <c r="K56" i="4"/>
  <c r="L68" i="4"/>
  <c r="F45" i="4"/>
  <c r="F47" i="4" s="1"/>
  <c r="R56" i="4"/>
  <c r="T68" i="4"/>
  <c r="Q68" i="4"/>
  <c r="S56" i="4"/>
  <c r="Y68" i="4"/>
  <c r="N68" i="4"/>
  <c r="N69" i="4" s="1"/>
  <c r="W45" i="4"/>
  <c r="W47" i="4" s="1"/>
  <c r="L56" i="4"/>
  <c r="O45" i="4"/>
  <c r="O47" i="4" s="1"/>
  <c r="N45" i="4"/>
  <c r="N47" i="4" s="1"/>
  <c r="X56" i="4"/>
  <c r="Y45" i="4"/>
  <c r="Y47" i="4" s="1"/>
  <c r="M68" i="4"/>
  <c r="S68" i="4"/>
  <c r="Q45" i="4"/>
  <c r="Q47" i="4" s="1"/>
  <c r="M45" i="4"/>
  <c r="M47" i="4" s="1"/>
  <c r="U68" i="4"/>
  <c r="Y56" i="4"/>
  <c r="V45" i="4"/>
  <c r="V47" i="4" s="1"/>
  <c r="T45" i="4"/>
  <c r="T47" i="4" s="1"/>
  <c r="K45" i="4"/>
  <c r="K47" i="4" s="1"/>
  <c r="Z68" i="4"/>
  <c r="O68" i="4"/>
  <c r="O69" i="4" s="1"/>
  <c r="P56" i="4"/>
  <c r="C45" i="4"/>
  <c r="C47" i="4" s="1"/>
  <c r="U56" i="4"/>
  <c r="P68" i="4"/>
  <c r="M56" i="4"/>
  <c r="Q56" i="4"/>
  <c r="R45" i="4"/>
  <c r="R47" i="4" s="1"/>
  <c r="P45" i="4"/>
  <c r="P47" i="4" s="1"/>
  <c r="T56" i="4"/>
  <c r="I56" i="4"/>
  <c r="W68" i="4"/>
  <c r="AA7" i="8"/>
  <c r="G34" i="4"/>
  <c r="F56" i="4"/>
  <c r="C56" i="4"/>
  <c r="V68" i="4"/>
  <c r="Z56" i="4"/>
  <c r="W56" i="4"/>
  <c r="R68" i="4"/>
  <c r="L45" i="4"/>
  <c r="L47" i="4" s="1"/>
  <c r="AC34" i="4"/>
  <c r="G56" i="4"/>
  <c r="J45" i="4"/>
  <c r="J47" i="4" s="1"/>
  <c r="U45" i="4"/>
  <c r="U47" i="4" s="1"/>
  <c r="Z19" i="4"/>
  <c r="J19" i="4"/>
  <c r="D19" i="4"/>
  <c r="G45" i="4"/>
  <c r="G47" i="4" s="1"/>
  <c r="F68" i="4"/>
  <c r="X68" i="4"/>
  <c r="V56" i="4"/>
  <c r="S45" i="4"/>
  <c r="S47" i="4" s="1"/>
  <c r="Z45" i="4"/>
  <c r="Z47" i="4" s="1"/>
  <c r="AD34" i="4"/>
  <c r="AC78" i="6"/>
  <c r="M5" i="9"/>
  <c r="J56" i="4"/>
  <c r="E45" i="4"/>
  <c r="E47" i="4" s="1"/>
  <c r="I68" i="4"/>
  <c r="V19" i="4"/>
  <c r="E34" i="4"/>
  <c r="P19" i="4"/>
  <c r="C19" i="4"/>
  <c r="J34" i="4"/>
  <c r="J68" i="4"/>
  <c r="E56" i="4"/>
  <c r="C68" i="4"/>
  <c r="H56" i="4"/>
  <c r="H68" i="4"/>
  <c r="D68" i="4"/>
  <c r="D69" i="4" s="1"/>
  <c r="H45" i="4"/>
  <c r="H47" i="4" s="1"/>
  <c r="I45" i="4"/>
  <c r="I47" i="4" s="1"/>
  <c r="E68" i="4"/>
  <c r="D45" i="4"/>
  <c r="D47" i="4" s="1"/>
  <c r="G68" i="4"/>
  <c r="I34" i="4"/>
  <c r="U34" i="4"/>
  <c r="C34" i="4"/>
  <c r="G19" i="4"/>
  <c r="K34" i="4"/>
  <c r="L34" i="4"/>
  <c r="U19" i="4"/>
  <c r="Q34" i="4"/>
  <c r="F34" i="4"/>
  <c r="Z34" i="4"/>
  <c r="H34" i="4"/>
  <c r="W19" i="4"/>
  <c r="W34" i="4"/>
  <c r="N19" i="4"/>
  <c r="R19" i="4"/>
  <c r="X19" i="4"/>
  <c r="Y34" i="4"/>
  <c r="F19" i="4"/>
  <c r="Y19" i="4"/>
  <c r="T19" i="4"/>
  <c r="E19" i="4"/>
  <c r="S34" i="4"/>
  <c r="P34" i="4"/>
  <c r="O19" i="4"/>
  <c r="O34" i="4"/>
  <c r="V34" i="4"/>
  <c r="X34" i="4"/>
  <c r="T34" i="4"/>
  <c r="S19" i="4"/>
  <c r="M19" i="4"/>
  <c r="R34" i="4"/>
  <c r="H19" i="4"/>
  <c r="L19" i="4"/>
  <c r="M34" i="4"/>
  <c r="D34" i="4"/>
  <c r="K19" i="4"/>
  <c r="Q19" i="4"/>
  <c r="N34" i="4"/>
  <c r="I19" i="4"/>
  <c r="AA35" i="4"/>
  <c r="AA69" i="4"/>
  <c r="C20" i="9"/>
  <c r="C31" i="9" s="1"/>
  <c r="J35" i="4" l="1"/>
  <c r="Q69" i="4"/>
  <c r="Q70" i="4" s="1"/>
  <c r="K69" i="4"/>
  <c r="K70" i="4" s="1"/>
  <c r="AA8" i="8"/>
  <c r="T69" i="4"/>
  <c r="T70" i="4" s="1"/>
  <c r="L69" i="4"/>
  <c r="L70" i="4" s="1"/>
  <c r="X69" i="4"/>
  <c r="X70" i="4" s="1"/>
  <c r="D35" i="4"/>
  <c r="R69" i="4"/>
  <c r="Z69" i="4"/>
  <c r="Z70" i="4" s="1"/>
  <c r="Y69" i="4"/>
  <c r="Y70" i="4" s="1"/>
  <c r="N70" i="4"/>
  <c r="P69" i="4"/>
  <c r="P70" i="4" s="1"/>
  <c r="O70" i="4"/>
  <c r="I69" i="4"/>
  <c r="I70" i="4" s="1"/>
  <c r="V35" i="4"/>
  <c r="U69" i="4"/>
  <c r="U70" i="4" s="1"/>
  <c r="C35" i="4"/>
  <c r="S69" i="4"/>
  <c r="S70" i="4" s="1"/>
  <c r="G35" i="4"/>
  <c r="R70" i="4"/>
  <c r="W69" i="4"/>
  <c r="W70" i="4" s="1"/>
  <c r="M69" i="4"/>
  <c r="M70" i="4" s="1"/>
  <c r="H69" i="4"/>
  <c r="H70" i="4" s="1"/>
  <c r="Y35" i="4"/>
  <c r="AE7" i="8"/>
  <c r="AD35" i="4"/>
  <c r="V69" i="4"/>
  <c r="V70" i="4" s="1"/>
  <c r="J69" i="4"/>
  <c r="J70" i="4" s="1"/>
  <c r="F69" i="4"/>
  <c r="F70" i="4" s="1"/>
  <c r="W35" i="4"/>
  <c r="G69" i="4"/>
  <c r="G70" i="4" s="1"/>
  <c r="C69" i="4"/>
  <c r="C70" i="4" s="1"/>
  <c r="AC7" i="8"/>
  <c r="AD7" i="8"/>
  <c r="AC35" i="4"/>
  <c r="T35" i="4"/>
  <c r="C25" i="9"/>
  <c r="C32" i="9"/>
  <c r="E35" i="4"/>
  <c r="P35" i="4"/>
  <c r="Q35" i="4"/>
  <c r="S35" i="4"/>
  <c r="O35" i="4"/>
  <c r="N35" i="4"/>
  <c r="D70" i="4"/>
  <c r="E69" i="4"/>
  <c r="E70" i="4" s="1"/>
  <c r="AA70" i="4"/>
  <c r="R35" i="4"/>
  <c r="H35" i="4"/>
  <c r="U35" i="4"/>
  <c r="L35" i="4"/>
  <c r="Z35" i="4"/>
  <c r="X35" i="4"/>
  <c r="M35" i="4"/>
  <c r="F35" i="4"/>
  <c r="K35" i="4"/>
  <c r="I35" i="4"/>
  <c r="AC8" i="8" l="1"/>
  <c r="AD8" i="8"/>
  <c r="AC5" i="8"/>
  <c r="AD5" i="8"/>
  <c r="AE8" i="8"/>
  <c r="AE5" i="8"/>
  <c r="N20" i="9"/>
  <c r="N31" i="9" s="1"/>
  <c r="M20" i="9"/>
  <c r="M31" i="9" s="1"/>
  <c r="K20" i="9"/>
  <c r="K31" i="9" s="1"/>
  <c r="J20" i="9"/>
  <c r="J31" i="9" s="1"/>
  <c r="I20" i="9"/>
  <c r="I31" i="9" s="1"/>
  <c r="H20" i="9"/>
  <c r="H31" i="9" s="1"/>
  <c r="F20" i="9"/>
  <c r="F31" i="9" s="1"/>
  <c r="E20" i="9"/>
  <c r="E31" i="9" s="1"/>
  <c r="D20" i="9"/>
  <c r="D31" i="9" s="1"/>
  <c r="C27" i="9"/>
  <c r="L5" i="9"/>
  <c r="G5" i="9"/>
  <c r="G20" i="9" s="1"/>
  <c r="G31" i="9" s="1"/>
  <c r="C28" i="9" l="1"/>
  <c r="C30" i="9"/>
  <c r="E25" i="9"/>
  <c r="E27" i="9" s="1"/>
  <c r="E32" i="9"/>
  <c r="M25" i="9"/>
  <c r="M27" i="9" s="1"/>
  <c r="M32" i="9"/>
  <c r="H32" i="9"/>
  <c r="H25" i="9"/>
  <c r="H27" i="9" s="1"/>
  <c r="K32" i="9"/>
  <c r="K25" i="9"/>
  <c r="K27" i="9" s="1"/>
  <c r="I25" i="9"/>
  <c r="I27" i="9" s="1"/>
  <c r="I32" i="9"/>
  <c r="D25" i="9"/>
  <c r="D27" i="9" s="1"/>
  <c r="D32" i="9"/>
  <c r="F32" i="9"/>
  <c r="F25" i="9"/>
  <c r="F27" i="9" s="1"/>
  <c r="J25" i="9"/>
  <c r="J27" i="9" s="1"/>
  <c r="J32" i="9"/>
  <c r="N25" i="9"/>
  <c r="N27" i="9" s="1"/>
  <c r="N32" i="9"/>
  <c r="AA3" i="8" s="1"/>
  <c r="L20" i="9"/>
  <c r="L31" i="9" s="1"/>
  <c r="G25" i="9"/>
  <c r="G27" i="9" s="1"/>
  <c r="G32" i="9"/>
  <c r="H30" i="9" l="1"/>
  <c r="H28" i="9"/>
  <c r="I30" i="9"/>
  <c r="I28" i="9"/>
  <c r="E30" i="9"/>
  <c r="E28" i="9"/>
  <c r="K30" i="9"/>
  <c r="K28" i="9"/>
  <c r="F30" i="9"/>
  <c r="F28" i="9"/>
  <c r="N30" i="9"/>
  <c r="N28" i="9"/>
  <c r="J30" i="9"/>
  <c r="J28" i="9"/>
  <c r="D30" i="9"/>
  <c r="D28" i="9"/>
  <c r="M30" i="9"/>
  <c r="M28" i="9"/>
  <c r="G30" i="9"/>
  <c r="G28" i="9"/>
  <c r="AA4" i="8"/>
  <c r="AA5" i="8"/>
  <c r="AA6" i="8"/>
  <c r="L25" i="9"/>
  <c r="L27" i="9" s="1"/>
  <c r="L32" i="9"/>
  <c r="AA6" i="6"/>
  <c r="AA33" i="6" s="1"/>
  <c r="AA36" i="6" s="1"/>
  <c r="AA75" i="6" s="1"/>
  <c r="AA78" i="6" s="1"/>
  <c r="L30" i="9" l="1"/>
  <c r="L28" i="9"/>
  <c r="S33" i="6"/>
  <c r="S36" i="6" s="1"/>
  <c r="O36" i="6"/>
  <c r="O75" i="6" s="1"/>
  <c r="O78" i="6" s="1"/>
  <c r="P36" i="6"/>
  <c r="P75" i="6" s="1"/>
  <c r="P78" i="6" s="1"/>
  <c r="Q36" i="6"/>
  <c r="Q75" i="6" s="1"/>
  <c r="Q78" i="6" s="1"/>
  <c r="S75" i="6" l="1"/>
  <c r="S78" i="6" s="1"/>
  <c r="N33" i="6" l="1"/>
  <c r="N36" i="6" s="1"/>
  <c r="N75" i="6" s="1"/>
  <c r="N78" i="6" s="1"/>
  <c r="I7" i="6"/>
  <c r="I33" i="6" s="1"/>
  <c r="I36" i="6" s="1"/>
  <c r="I75" i="6" s="1"/>
  <c r="U7" i="6"/>
  <c r="U33" i="6" s="1"/>
  <c r="U36" i="6" s="1"/>
  <c r="U75" i="6" s="1"/>
  <c r="U78" i="6" s="1"/>
  <c r="Z7" i="6"/>
  <c r="Z33" i="6" s="1"/>
  <c r="Z36" i="6" s="1"/>
  <c r="Z75" i="6" s="1"/>
  <c r="Z78" i="6" s="1"/>
  <c r="R33" i="6"/>
  <c r="R36" i="6" s="1"/>
  <c r="R75" i="6" s="1"/>
  <c r="R78" i="6" s="1"/>
  <c r="G7" i="6"/>
  <c r="G33" i="6" s="1"/>
  <c r="G36" i="6" s="1"/>
  <c r="G75" i="6" s="1"/>
  <c r="G78" i="6" s="1"/>
  <c r="M7" i="6"/>
  <c r="M33" i="6" s="1"/>
  <c r="M36" i="6" s="1"/>
  <c r="M75" i="6" s="1"/>
  <c r="M78" i="6" s="1"/>
  <c r="V7" i="6"/>
  <c r="V33" i="6" s="1"/>
  <c r="V36" i="6" s="1"/>
  <c r="V75" i="6" s="1"/>
  <c r="V78" i="6" s="1"/>
  <c r="W7" i="6"/>
  <c r="W33" i="6" s="1"/>
  <c r="W36" i="6" s="1"/>
  <c r="W75" i="6" s="1"/>
  <c r="W78" i="6" s="1"/>
  <c r="T33" i="6"/>
  <c r="T36" i="6" s="1"/>
  <c r="T75" i="6" s="1"/>
  <c r="T78" i="6" s="1"/>
  <c r="H7" i="6"/>
  <c r="H33" i="6" s="1"/>
  <c r="H36" i="6" s="1"/>
  <c r="H75" i="6" s="1"/>
  <c r="H78" i="6" s="1"/>
  <c r="Y7" i="6"/>
  <c r="Y33" i="6" s="1"/>
  <c r="Y36" i="6" s="1"/>
  <c r="Y75" i="6" s="1"/>
  <c r="Y78" i="6" s="1"/>
  <c r="K7" i="6"/>
  <c r="K33" i="6" s="1"/>
  <c r="K36" i="6" s="1"/>
  <c r="K75" i="6" s="1"/>
  <c r="L7" i="6"/>
  <c r="L33" i="6" s="1"/>
  <c r="L36" i="6" s="1"/>
  <c r="L75" i="6" s="1"/>
  <c r="L78" i="6" s="1"/>
  <c r="J7" i="6"/>
  <c r="J33" i="6" s="1"/>
  <c r="J36" i="6" s="1"/>
  <c r="J75" i="6" s="1"/>
  <c r="X7" i="6"/>
  <c r="X33" i="6" s="1"/>
  <c r="X36" i="6" s="1"/>
  <c r="X75" i="6" s="1"/>
  <c r="X78" i="6" s="1"/>
  <c r="I78" i="6" l="1"/>
  <c r="J78" i="6" l="1"/>
  <c r="K78" i="6" l="1"/>
  <c r="C7" i="6"/>
  <c r="C33" i="6" s="1"/>
  <c r="C36" i="6" s="1"/>
  <c r="C75" i="6" s="1"/>
  <c r="C78" i="6" s="1"/>
  <c r="D7" i="6"/>
  <c r="D33" i="6" s="1"/>
  <c r="D36" i="6" s="1"/>
  <c r="D75" i="6" s="1"/>
  <c r="D78" i="6" s="1"/>
  <c r="E7" i="6"/>
  <c r="E33" i="6" s="1"/>
  <c r="E36" i="6" s="1"/>
  <c r="E75" i="6" s="1"/>
  <c r="E78" i="6" s="1"/>
  <c r="F7" i="6"/>
  <c r="F33" i="6" s="1"/>
  <c r="F36" i="6" s="1"/>
  <c r="F75" i="6" s="1"/>
  <c r="F78" i="6" s="1"/>
</calcChain>
</file>

<file path=xl/sharedStrings.xml><?xml version="1.0" encoding="utf-8"?>
<sst xmlns="http://schemas.openxmlformats.org/spreadsheetml/2006/main" count="1677" uniqueCount="1095">
  <si>
    <t>EBITDA</t>
  </si>
  <si>
    <t>-</t>
  </si>
  <si>
    <t>Amortyzacja</t>
  </si>
  <si>
    <t>Wynagrodzenia i świadczenia na rzecz pracowników</t>
  </si>
  <si>
    <t>Podatek dochodowy</t>
  </si>
  <si>
    <t>marża EBITDA</t>
  </si>
  <si>
    <t>31 grudnia 2004 r.</t>
  </si>
  <si>
    <t>31 grudnia 2005 r.</t>
  </si>
  <si>
    <t>31 grudnia 2006 r.</t>
  </si>
  <si>
    <t xml:space="preserve"> 31 grudnia 2007 r. </t>
  </si>
  <si>
    <t>30 czerwca 2008 r.</t>
  </si>
  <si>
    <t>AKTYWA</t>
  </si>
  <si>
    <t>Zestawy odbiorcze</t>
  </si>
  <si>
    <t>Inne rzeczowe aktywa trwałe</t>
  </si>
  <si>
    <t>Nieruchomości inwestycyjne</t>
  </si>
  <si>
    <t>Aktywa z tytułu odroczonego podatku dochodowego</t>
  </si>
  <si>
    <t>Wartość firmy</t>
  </si>
  <si>
    <t>Aktywa trwałe razem</t>
  </si>
  <si>
    <t>Zapasy</t>
  </si>
  <si>
    <t>Środki pieniężne i ich ekwiwalenty</t>
  </si>
  <si>
    <t>Aktywa przeznaczone do sprzedaży</t>
  </si>
  <si>
    <t>Aktywa obrotowe razem</t>
  </si>
  <si>
    <t>Aktywa razem</t>
  </si>
  <si>
    <t>PASYWA</t>
  </si>
  <si>
    <t>Kapitał zakładowy</t>
  </si>
  <si>
    <t>Kapitał zapasowy</t>
  </si>
  <si>
    <t>Kapitał rezerwowy</t>
  </si>
  <si>
    <t>Kapitał własny razem</t>
  </si>
  <si>
    <t>Zobowiązania z tytułu kredytów i pożyczek</t>
  </si>
  <si>
    <t>Zobowiązania z tytułu leasingu finansowego</t>
  </si>
  <si>
    <t>Zobowiązania z tytułu odroczonego podatku dochodowego</t>
  </si>
  <si>
    <t>Inne długoterminowe zobowiązania i rezerwy</t>
  </si>
  <si>
    <t>Zobowiązania długoterminowe razem</t>
  </si>
  <si>
    <t>Zobowiązania z tytułu podatku dochodowego</t>
  </si>
  <si>
    <t xml:space="preserve">Zobowiązania z tytułu dostaw i usług oraz pozostałe zobowiązania </t>
  </si>
  <si>
    <t>Zobowiązania krótkoterminowe razem</t>
  </si>
  <si>
    <t>Zobowiązania razem</t>
  </si>
  <si>
    <t>PASYWA RAZEM</t>
  </si>
  <si>
    <t>12 miesięcy do</t>
  </si>
  <si>
    <t>6 miesięcy do</t>
  </si>
  <si>
    <t>31 grudnia 2007 r.</t>
  </si>
  <si>
    <t>Zysk/(strata) netto</t>
  </si>
  <si>
    <t>Korekty:</t>
  </si>
  <si>
    <t xml:space="preserve">Odsetki </t>
  </si>
  <si>
    <t>Zmiana stanu zapasów</t>
  </si>
  <si>
    <t>Zmiana stanu należności i innych aktywów</t>
  </si>
  <si>
    <t xml:space="preserve">Podatek dochodowy </t>
  </si>
  <si>
    <t>Inne korekty</t>
  </si>
  <si>
    <t>Podatek dochodowy zapłacony</t>
  </si>
  <si>
    <t>Odsetki otrzymane dotyczące działalności operacyjnej</t>
  </si>
  <si>
    <t>Środki pieniężne z działalności operacyjnej</t>
  </si>
  <si>
    <t>Nabycie wartości niematerialnych</t>
  </si>
  <si>
    <t>Nabycie rzeczowych aktywów trwałych</t>
  </si>
  <si>
    <t>Spłata zobowiązań z tytułu leasingu finansowego</t>
  </si>
  <si>
    <t>Inne wydatki</t>
  </si>
  <si>
    <t>Zmiana netto środków pieniężnych i ich ekwiwalentów</t>
  </si>
  <si>
    <t>Środki pieniężne i ich ekwiwalenty na początek okresu</t>
  </si>
  <si>
    <t>Zmiana stanu środków pieniężnych z tytułu różnic kursowych</t>
  </si>
  <si>
    <t xml:space="preserve"> 31 grudnia 2008 r. </t>
  </si>
  <si>
    <t>Zobowiązania związane z aktywami trwałymi przeznaczonymi do sprzedaży</t>
  </si>
  <si>
    <t>Wpływy z tytułu podwyższenia kapitału</t>
  </si>
  <si>
    <t>Wpływy z tytułu rozliczenia usług związanych z publiczną ofertą akcji</t>
  </si>
  <si>
    <t>31 grudnia 2008 r.</t>
  </si>
  <si>
    <t>Wypłacone dywidendy</t>
  </si>
  <si>
    <t>Nabycie nieruchomości inwestycyjnych</t>
  </si>
  <si>
    <t>Nabycie aktywów finansowych</t>
  </si>
  <si>
    <t>Wpływy ze zbycia aktywów finansowych</t>
  </si>
  <si>
    <t>Spłata otrzymanych kredytów i pożyczek</t>
  </si>
  <si>
    <t>30 czerwca 2009 r.</t>
  </si>
  <si>
    <t>31 grudnia 2009 r.</t>
  </si>
  <si>
    <t>Środki pieniężne o ograniczonej możliwości dysponowania</t>
  </si>
  <si>
    <t>Kaucje otrzymane za wydany sprzęt</t>
  </si>
  <si>
    <t>Q1'10</t>
  </si>
  <si>
    <t>Q2'10</t>
  </si>
  <si>
    <t>30 czerwca 2010 r.</t>
  </si>
  <si>
    <t>Udzielone pożyczki</t>
  </si>
  <si>
    <t>Wpływy ze zbycia niefinansowych aktywów trwałych</t>
  </si>
  <si>
    <t>Q3'10</t>
  </si>
  <si>
    <t>30 września 2010 r.</t>
  </si>
  <si>
    <t>9 miesięcy do</t>
  </si>
  <si>
    <t>Wydatki na opcje walutowe</t>
  </si>
  <si>
    <t>Zmiana stanu kredytu w rachunku bieżącym</t>
  </si>
  <si>
    <t>31 grudnia 2010 r.</t>
  </si>
  <si>
    <t>Spłata udzielonych pożyczek</t>
  </si>
  <si>
    <t>Q4'10</t>
  </si>
  <si>
    <t>Q1'11</t>
  </si>
  <si>
    <t>31 marca 2011 r.</t>
  </si>
  <si>
    <t>3 miesiące do</t>
  </si>
  <si>
    <t>Zysk z działalności operacyjnej</t>
  </si>
  <si>
    <t>Q2'11</t>
  </si>
  <si>
    <t>Płatności za licencje filmowe i sportowe</t>
  </si>
  <si>
    <t>Amortyzacja licencji filmowych i sportowych</t>
  </si>
  <si>
    <t>Wartość sprzedanych aktywów programowych</t>
  </si>
  <si>
    <t>Zmiana stanu produkcji własnej oraz zaliczek na produkcję własną</t>
  </si>
  <si>
    <t>Wycena instrumentów zabezpieczających</t>
  </si>
  <si>
    <t>30 czerwca 2011 r.</t>
  </si>
  <si>
    <t>Kompensata należności z tytułu podatku dochodowego z zobowiązaniami z tytułu VAT</t>
  </si>
  <si>
    <t>Marki</t>
  </si>
  <si>
    <t>Długoterminowe aktywa programowe</t>
  </si>
  <si>
    <t>Krótkoterminowe aktywa programowe</t>
  </si>
  <si>
    <t>Kapitał z aktualizacji wyceny instrumentów zabezpieczających</t>
  </si>
  <si>
    <t>Różnice kursowe z przeliczenia jednostek działających za granicą</t>
  </si>
  <si>
    <t>&lt;0</t>
  </si>
  <si>
    <t xml:space="preserve">Inne wartości niematerialne </t>
  </si>
  <si>
    <r>
      <rPr>
        <i/>
        <vertAlign val="superscript"/>
        <sz val="9"/>
        <color indexed="8"/>
        <rFont val="Calibri"/>
        <family val="2"/>
        <charset val="238"/>
      </rPr>
      <t>3)</t>
    </r>
    <r>
      <rPr>
        <i/>
        <sz val="9"/>
        <color indexed="8"/>
        <rFont val="Calibri"/>
        <family val="2"/>
        <charset val="238"/>
      </rPr>
      <t xml:space="preserve"> zysk netto/aktywa ogółem</t>
    </r>
  </si>
  <si>
    <r>
      <rPr>
        <i/>
        <vertAlign val="superscript"/>
        <sz val="9"/>
        <color indexed="8"/>
        <rFont val="Calibri"/>
        <family val="2"/>
        <charset val="238"/>
      </rPr>
      <t>4)</t>
    </r>
    <r>
      <rPr>
        <i/>
        <sz val="9"/>
        <color indexed="8"/>
        <rFont val="Calibri"/>
        <family val="2"/>
        <charset val="238"/>
      </rPr>
      <t xml:space="preserve"> zysk netto/(kapitał własny-zysk netto)</t>
    </r>
  </si>
  <si>
    <r>
      <rPr>
        <i/>
        <vertAlign val="superscript"/>
        <sz val="9"/>
        <color indexed="8"/>
        <rFont val="Calibri"/>
        <family val="2"/>
        <charset val="238"/>
      </rPr>
      <t>5)</t>
    </r>
    <r>
      <rPr>
        <i/>
        <sz val="9"/>
        <color indexed="8"/>
        <rFont val="Calibri"/>
        <family val="2"/>
        <charset val="238"/>
      </rPr>
      <t xml:space="preserve"> aktywa bieżące/zobowiązania bieżące</t>
    </r>
  </si>
  <si>
    <r>
      <rPr>
        <i/>
        <vertAlign val="superscript"/>
        <sz val="9"/>
        <color indexed="8"/>
        <rFont val="Calibri"/>
        <family val="2"/>
        <charset val="238"/>
      </rPr>
      <t xml:space="preserve">6) </t>
    </r>
    <r>
      <rPr>
        <i/>
        <sz val="9"/>
        <color indexed="8"/>
        <rFont val="Calibri"/>
        <family val="2"/>
        <charset val="238"/>
      </rPr>
      <t>zobowiązania ogółem/aktywa ogółem</t>
    </r>
  </si>
  <si>
    <t>Q3'11</t>
  </si>
  <si>
    <t>30 września 2011 r.</t>
  </si>
  <si>
    <r>
      <rPr>
        <i/>
        <vertAlign val="superscript"/>
        <sz val="9"/>
        <color indexed="8"/>
        <rFont val="Calibri"/>
        <family val="2"/>
        <charset val="238"/>
      </rPr>
      <t>2)</t>
    </r>
    <r>
      <rPr>
        <i/>
        <sz val="9"/>
        <color indexed="8"/>
        <rFont val="Calibri"/>
        <family val="2"/>
        <charset val="238"/>
      </rPr>
      <t xml:space="preserve"> zysk netto/przychody ze sprzedaży</t>
    </r>
  </si>
  <si>
    <t>(Zyski) / straty z tytułu różnic kursowych, netto</t>
  </si>
  <si>
    <t>Q4'11</t>
  </si>
  <si>
    <t xml:space="preserve">31 grudnia 2011 r. </t>
  </si>
  <si>
    <t>Obligacje</t>
  </si>
  <si>
    <t>31 grudnia 2010 r</t>
  </si>
  <si>
    <t>30 września 2010 r</t>
  </si>
  <si>
    <t>Nabycie obligacji</t>
  </si>
  <si>
    <t>Zaliczka na udziały</t>
  </si>
  <si>
    <t>Q1'12</t>
  </si>
  <si>
    <t>3)</t>
  </si>
  <si>
    <t>31 marca 2012 r.</t>
  </si>
  <si>
    <t>Pożyczki udzielone jednostkom powiązanym</t>
  </si>
  <si>
    <t>Q2'12</t>
  </si>
  <si>
    <t>30 czerwca 2012 r.</t>
  </si>
  <si>
    <t>1)</t>
  </si>
  <si>
    <t>2)</t>
  </si>
  <si>
    <t>Zmiana stanu zobowiązań, rezerw i przychodów przyszłych okresów</t>
  </si>
  <si>
    <t>Q3'12</t>
  </si>
  <si>
    <t>30 września 2012 r.</t>
  </si>
  <si>
    <t>Spłata odsetek od pożyczek</t>
  </si>
  <si>
    <r>
      <rPr>
        <i/>
        <vertAlign val="superscript"/>
        <sz val="9"/>
        <color indexed="8"/>
        <rFont val="Calibri"/>
        <family val="2"/>
        <charset val="238"/>
      </rPr>
      <t>1)</t>
    </r>
    <r>
      <rPr>
        <i/>
        <sz val="9"/>
        <color indexed="8"/>
        <rFont val="Calibri"/>
        <family val="2"/>
        <charset val="238"/>
      </rPr>
      <t xml:space="preserve"> EBITDA/przychody ze sprzedaży</t>
    </r>
  </si>
  <si>
    <t>31 grudnia 2012 r.</t>
  </si>
  <si>
    <t>Q4'12</t>
  </si>
  <si>
    <t>Strata /(zyski) na sprzedaży udziałów w jednostce zależnej</t>
  </si>
  <si>
    <t>Zwiększenie netto wartości zestawów odbiorczych w leasingu operacyjnym</t>
  </si>
  <si>
    <t>Środki pieniężne netto z działalności operacyjnej</t>
  </si>
  <si>
    <t>Środki pieniężne netto z działalności inwestycyjnej</t>
  </si>
  <si>
    <t>Środki pieniężne netto z działalności finansowej</t>
  </si>
  <si>
    <t>Q1'13</t>
  </si>
  <si>
    <t>31 marca 2013 r.</t>
  </si>
  <si>
    <t>Nabycie udziałów w jednostkach zależnych pomniejszone o przejęte środki pieniężne</t>
  </si>
  <si>
    <t>Q2'13</t>
  </si>
  <si>
    <t>30 czerwca 2013 r.</t>
  </si>
  <si>
    <t>Zysk / (strata) netto za okres</t>
  </si>
  <si>
    <t>Zysk / (strata) brutto za okres</t>
  </si>
  <si>
    <t>Udział w zysku jednostki współkontrolowanej wycenianej metodą praw własności</t>
  </si>
  <si>
    <t>Koszty operacyjne</t>
  </si>
  <si>
    <t>Przychody ze sprzedaży usług, produktów, towarów i materiałów</t>
  </si>
  <si>
    <t>Zyski/(straty) zatrzymane</t>
  </si>
  <si>
    <t>Należności z tytułu podatku dochodowego</t>
  </si>
  <si>
    <t>Q3'13</t>
  </si>
  <si>
    <t>Udziały niekontrolujące</t>
  </si>
  <si>
    <t>30 września 2013 r.</t>
  </si>
  <si>
    <t>Kapitał przypadający na akcjonariuszy Jednostki Dominującej</t>
  </si>
  <si>
    <t>Q4'13</t>
  </si>
  <si>
    <t>31 grudnia 2013 r.</t>
  </si>
  <si>
    <t>Amortyzacja, utrata wartości i likwidacja</t>
  </si>
  <si>
    <t>Q1'14</t>
  </si>
  <si>
    <t>31 marca 2014 r.</t>
  </si>
  <si>
    <t>Otrzymane dywidendy</t>
  </si>
  <si>
    <t>Q2'14</t>
  </si>
  <si>
    <t>Przychody detaliczne od klientów indywidualnych i biznesowych</t>
  </si>
  <si>
    <t>Przychody hurtowe</t>
  </si>
  <si>
    <t>Przychody ze sprzedaży sprzętu</t>
  </si>
  <si>
    <t>Pozostałe przychody ze sprzedaży</t>
  </si>
  <si>
    <t>Koszty kontentu</t>
  </si>
  <si>
    <t>Koszty dystrybucji, marketingu, obsługi i utrzymania klienta</t>
  </si>
  <si>
    <t>Koszty techniczne i rozliczeń międzyoperatorskich</t>
  </si>
  <si>
    <t>Koszt własny sprzedanego sprzętu</t>
  </si>
  <si>
    <t>Koszty windykacji, odpisów aktualizujących wartość należności i koszt spisanych należności</t>
  </si>
  <si>
    <t>Inne koszty</t>
  </si>
  <si>
    <t>Pozostałe przychody / koszty operacyjne, netto</t>
  </si>
  <si>
    <t xml:space="preserve">Koszty finansowe </t>
  </si>
  <si>
    <t xml:space="preserve">Zobowiązania z tytułu obligacji </t>
  </si>
  <si>
    <t>Lokaty krótkoterminowe</t>
  </si>
  <si>
    <t>(Zysk)/strata ze sprzedaży rzeczowych aktywów trwałych i wartości niematerialnych</t>
  </si>
  <si>
    <t>Wpływy z tytułu realizacji instrumentaów pochodnych</t>
  </si>
  <si>
    <t xml:space="preserve">Lokaty krótkoterminowe </t>
  </si>
  <si>
    <t>Zapłata za usługi doradcze związane z emisją akcji</t>
  </si>
  <si>
    <t>w milionach złotych</t>
  </si>
  <si>
    <t>30 czerwca 2014 r.</t>
  </si>
  <si>
    <r>
      <rPr>
        <vertAlign val="superscript"/>
        <sz val="11"/>
        <color indexed="8"/>
        <rFont val="Calibri"/>
        <family val="2"/>
        <charset val="238"/>
      </rPr>
      <t>7)</t>
    </r>
    <r>
      <rPr>
        <sz val="11"/>
        <color indexed="8"/>
        <rFont val="Calibri"/>
        <family val="2"/>
        <charset val="238"/>
      </rPr>
      <t xml:space="preserve"> Od drugiego kwartału 2014 roku zmieniliśmy prezentację przychodów i kosztów, dane za 2Q'14  prezentujemy w osobnej tabeli - RZiS - nowy układ</t>
    </r>
  </si>
  <si>
    <r>
      <rPr>
        <vertAlign val="superscript"/>
        <sz val="11"/>
        <color indexed="8"/>
        <rFont val="Calibri"/>
        <family val="2"/>
        <charset val="238"/>
      </rPr>
      <t xml:space="preserve">6)  </t>
    </r>
    <r>
      <rPr>
        <sz val="11"/>
        <color indexed="8"/>
        <rFont val="Calibri"/>
        <family val="2"/>
        <charset val="238"/>
      </rPr>
      <t>Od czwartego kwartału 2012 roku,  koszty finansowe dotyczące obsługi zadłużenia Grupy prezentowane są odrębnie, w pozycji „Koszty finansowe, netto”, a pozostałe pozycje przychodów i kosztów finansowych prezentowane są razem w pozycji „Zysk / strata z działalności inwestycyjnej, netto”. Dla porównywalności danych ujednociliśmy prezentację w czwartym kwartale 2011 r., dla całego roku 2011 r, w pierwszym i drugim kwartale 2012 r.</t>
    </r>
  </si>
  <si>
    <r>
      <rPr>
        <vertAlign val="superscript"/>
        <sz val="11"/>
        <color indexed="8"/>
        <rFont val="Calibri"/>
        <family val="2"/>
        <charset val="238"/>
      </rPr>
      <t>5)</t>
    </r>
    <r>
      <rPr>
        <sz val="11"/>
        <color indexed="8"/>
        <rFont val="Calibri"/>
        <family val="2"/>
        <charset val="238"/>
      </rPr>
      <t xml:space="preserve"> Od drugiego kwartału 2012 roku, pozostałe przychody i koszty operacyjne prezentujemy netto. Dla porównywalności danych ujednociliśmy prezentację w 2011 roku.</t>
    </r>
  </si>
  <si>
    <r>
      <rPr>
        <vertAlign val="superscript"/>
        <sz val="11"/>
        <color indexed="8"/>
        <rFont val="Calibri"/>
        <family val="2"/>
        <charset val="238"/>
      </rPr>
      <t>4)</t>
    </r>
    <r>
      <rPr>
        <sz val="11"/>
        <color indexed="8"/>
        <rFont val="Calibri"/>
        <family val="2"/>
        <charset val="238"/>
      </rPr>
      <t xml:space="preserve"> Od drugiego kwartału 2012 roku, koszty windykacji (wcześniej prezentowane w pozycji Koszty dystrybucji, marketingu, obsługi i utrzymania klienta) oraz utworzenie odpisów aktualizujących wartość należności i koszt spisanych należności (wcześniej prezentowane w Pozostałych kosztach operacyjnych) prezentujemy łączenie w osobnej linii w Kosztach operacyjnych. Dla porównywalności danych ujednoliciliśmy prezentację za wcześniejsze okresy.</t>
    </r>
  </si>
  <si>
    <r>
      <rPr>
        <vertAlign val="superscript"/>
        <sz val="11"/>
        <color indexed="8"/>
        <rFont val="Calibri"/>
        <family val="2"/>
        <charset val="238"/>
      </rPr>
      <t xml:space="preserve">3) </t>
    </r>
    <r>
      <rPr>
        <sz val="11"/>
        <color indexed="8"/>
        <rFont val="Calibri"/>
        <family val="2"/>
        <charset val="238"/>
      </rPr>
      <t>Do 2011 roku koszty zrealizowanego ruchu i usług międzyoperatorskich prezentowaliśmy w pozycji Inne koszty. Dla porównywalności danych ujednoliciliśmy prezentację dla 2011 roku.</t>
    </r>
  </si>
  <si>
    <r>
      <rPr>
        <vertAlign val="superscript"/>
        <sz val="11"/>
        <color indexed="8"/>
        <rFont val="Calibri"/>
        <family val="2"/>
        <charset val="238"/>
      </rPr>
      <t>2)</t>
    </r>
    <r>
      <rPr>
        <sz val="11"/>
        <color indexed="8"/>
        <rFont val="Calibri"/>
        <family val="2"/>
        <charset val="238"/>
      </rPr>
      <t xml:space="preserve"> Od 2Q 2011 roku koszty utraty wartości aktywów trwałych (wcześniej ujęte w Pozostałych kosztach operacyjnych) prezentujemy w pozycji Amortyzacja i utrata wartości. Dla porównywalności danych ujednociliśmy prezentację dla 1Q2011.</t>
    </r>
  </si>
  <si>
    <r>
      <rPr>
        <vertAlign val="superscript"/>
        <sz val="11"/>
        <color indexed="8"/>
        <rFont val="Calibri"/>
        <family val="2"/>
        <charset val="238"/>
      </rPr>
      <t xml:space="preserve">1) </t>
    </r>
    <r>
      <rPr>
        <sz val="11"/>
        <color indexed="8"/>
        <rFont val="Calibri"/>
        <family val="2"/>
        <charset val="238"/>
      </rPr>
      <t xml:space="preserve">Od 2Q 2011 przychody z reklamy i marketingu (wcześniej prezentowane w pozycji Pozostałe przychody ze sprzedaży) prezentowane są w pozycji Przychody z reklamy i sponsoringu. Dla porównywalności danych ujednoliciliśmy prezentację we wcześniejszych okresach. </t>
    </r>
  </si>
  <si>
    <t>6)</t>
  </si>
  <si>
    <r>
      <t xml:space="preserve">Koszty finansowe </t>
    </r>
    <r>
      <rPr>
        <b/>
        <vertAlign val="superscript"/>
        <sz val="9"/>
        <color indexed="8"/>
        <rFont val="Calibri"/>
        <family val="2"/>
        <charset val="238"/>
      </rPr>
      <t>6)</t>
    </r>
  </si>
  <si>
    <r>
      <t>Zyski i straty z działalności inwestycyjnej, netto</t>
    </r>
    <r>
      <rPr>
        <b/>
        <vertAlign val="superscript"/>
        <sz val="9"/>
        <color indexed="8"/>
        <rFont val="Calibri"/>
        <family val="2"/>
        <charset val="238"/>
      </rPr>
      <t xml:space="preserve"> 6)</t>
    </r>
  </si>
  <si>
    <t>Koszty finansowe</t>
  </si>
  <si>
    <t>Przychody finansowe</t>
  </si>
  <si>
    <t>5)</t>
  </si>
  <si>
    <r>
      <t xml:space="preserve">Pozostałe przychody / (koszty) operacyjne, netto </t>
    </r>
    <r>
      <rPr>
        <b/>
        <vertAlign val="superscript"/>
        <sz val="9"/>
        <color indexed="8"/>
        <rFont val="Calibri"/>
        <family val="2"/>
        <charset val="238"/>
      </rPr>
      <t>5)</t>
    </r>
  </si>
  <si>
    <r>
      <t xml:space="preserve">Pozostałe koszty operacyjne </t>
    </r>
    <r>
      <rPr>
        <b/>
        <vertAlign val="superscript"/>
        <sz val="9"/>
        <color indexed="8"/>
        <rFont val="Calibri"/>
        <family val="2"/>
        <charset val="238"/>
      </rPr>
      <t>2)</t>
    </r>
  </si>
  <si>
    <t>Pozostałe przychody operacyjne</t>
  </si>
  <si>
    <t xml:space="preserve">Inne koszty </t>
  </si>
  <si>
    <t xml:space="preserve">Koszt własny sprzedanego sprzętu  </t>
  </si>
  <si>
    <t>4)</t>
  </si>
  <si>
    <t>Koszty windykacji, utworzenie odpisów aktualizujących wartość należności i koszt spisanych należności</t>
  </si>
  <si>
    <t>Koszty zrealizowanego ruchu i opłat międzyoperatorskich</t>
  </si>
  <si>
    <t>Amortyzacja licencji filmowych</t>
  </si>
  <si>
    <t>Koszty przesyłu sygnału</t>
  </si>
  <si>
    <r>
      <t>Amortyzacja, utrata wartości i likwidacja</t>
    </r>
    <r>
      <rPr>
        <vertAlign val="superscript"/>
        <sz val="9"/>
        <color indexed="8"/>
        <rFont val="Calibri"/>
        <family val="2"/>
        <charset val="238"/>
      </rPr>
      <t>2)</t>
    </r>
  </si>
  <si>
    <t>Koszty produkcji telewizyjnej własnej i zewnętrznej oraz amortyzacja praw sportowych</t>
  </si>
  <si>
    <r>
      <t>Koszty dystrybucji, marketingu, obsługi i utrzymania klienta</t>
    </r>
    <r>
      <rPr>
        <vertAlign val="superscript"/>
        <sz val="9"/>
        <color indexed="8"/>
        <rFont val="Calibri"/>
        <family val="2"/>
        <charset val="238"/>
      </rPr>
      <t>4)</t>
    </r>
  </si>
  <si>
    <t>Koszty licencji programowych</t>
  </si>
  <si>
    <r>
      <t>Pozostałe przychody ze sprzedaży</t>
    </r>
    <r>
      <rPr>
        <vertAlign val="superscript"/>
        <sz val="9"/>
        <color indexed="8"/>
        <rFont val="Calibri"/>
        <family val="2"/>
        <charset val="238"/>
      </rPr>
      <t>1)</t>
    </r>
  </si>
  <si>
    <t xml:space="preserve">Przychody ze sprzedaży sprzętu  </t>
  </si>
  <si>
    <t>Przychody od operatorów kablowych i satelitarnych</t>
  </si>
  <si>
    <r>
      <t>Przychody z reklamy i sponsoringu</t>
    </r>
    <r>
      <rPr>
        <vertAlign val="superscript"/>
        <sz val="9"/>
        <color indexed="8"/>
        <rFont val="Calibri"/>
        <family val="2"/>
        <charset val="238"/>
      </rPr>
      <t>1)</t>
    </r>
  </si>
  <si>
    <t>Przychody od klientów indywidualnych</t>
  </si>
  <si>
    <r>
      <t xml:space="preserve">Q2'14 </t>
    </r>
    <r>
      <rPr>
        <b/>
        <vertAlign val="superscript"/>
        <sz val="11"/>
        <color indexed="8"/>
        <rFont val="Calibri"/>
        <family val="2"/>
        <charset val="238"/>
      </rPr>
      <t>7)</t>
    </r>
  </si>
  <si>
    <t>Q1'07</t>
  </si>
  <si>
    <t>Q2'07</t>
  </si>
  <si>
    <t>Q3'07</t>
  </si>
  <si>
    <t>Q4'07</t>
  </si>
  <si>
    <t>Q1'08</t>
  </si>
  <si>
    <t>Q2'08</t>
  </si>
  <si>
    <t>Q3'08</t>
  </si>
  <si>
    <t>Q4'08</t>
  </si>
  <si>
    <t>Q1'09</t>
  </si>
  <si>
    <t>Q2'09</t>
  </si>
  <si>
    <t>Q3'09</t>
  </si>
  <si>
    <t>Q4'09</t>
  </si>
  <si>
    <r>
      <t>Q1'2011</t>
    </r>
    <r>
      <rPr>
        <b/>
        <vertAlign val="superscript"/>
        <sz val="11"/>
        <color indexed="8"/>
        <rFont val="Calibri"/>
        <family val="2"/>
        <charset val="238"/>
      </rPr>
      <t xml:space="preserve"> 2)</t>
    </r>
  </si>
  <si>
    <t>Przychody</t>
  </si>
  <si>
    <t>Przychody z opłat abonamentowych</t>
  </si>
  <si>
    <t>125.233</t>
  </si>
  <si>
    <t>172.780</t>
  </si>
  <si>
    <t>351.090</t>
  </si>
  <si>
    <t>143.170</t>
  </si>
  <si>
    <t>158.072</t>
  </si>
  <si>
    <t>170.137</t>
  </si>
  <si>
    <t>191.142</t>
  </si>
  <si>
    <t>662.521</t>
  </si>
  <si>
    <t>216.641</t>
  </si>
  <si>
    <t>236.207</t>
  </si>
  <si>
    <t>253.585</t>
  </si>
  <si>
    <t>271.245</t>
  </si>
  <si>
    <t>977.678</t>
  </si>
  <si>
    <t>290.364</t>
  </si>
  <si>
    <t>290.540</t>
  </si>
  <si>
    <t>296.658</t>
  </si>
  <si>
    <t>312.256</t>
  </si>
  <si>
    <t>1.189.818</t>
  </si>
  <si>
    <t>352.616</t>
  </si>
  <si>
    <t>345.069</t>
  </si>
  <si>
    <t>342.459</t>
  </si>
  <si>
    <t>353.368</t>
  </si>
  <si>
    <t>1.393.512</t>
  </si>
  <si>
    <t>19.943</t>
  </si>
  <si>
    <t>68.341</t>
  </si>
  <si>
    <t>100.629</t>
  </si>
  <si>
    <t>30.032</t>
  </si>
  <si>
    <t>9.289</t>
  </si>
  <si>
    <t>24.077</t>
  </si>
  <si>
    <t>43.807</t>
  </si>
  <si>
    <t>107.205</t>
  </si>
  <si>
    <t>20.587</t>
  </si>
  <si>
    <t>23.045</t>
  </si>
  <si>
    <t>21.085</t>
  </si>
  <si>
    <t>35.463</t>
  </si>
  <si>
    <t>100.180</t>
  </si>
  <si>
    <t>11.980</t>
  </si>
  <si>
    <t>8.378</t>
  </si>
  <si>
    <t>10.452</t>
  </si>
  <si>
    <t>15.774</t>
  </si>
  <si>
    <t>46.584</t>
  </si>
  <si>
    <t>10.792</t>
  </si>
  <si>
    <t>10.372</t>
  </si>
  <si>
    <t>7.284</t>
  </si>
  <si>
    <t>7.259</t>
  </si>
  <si>
    <t>35.707</t>
  </si>
  <si>
    <t>Przychody ze sprzedaży sprzętu elektronicznego</t>
  </si>
  <si>
    <t>1.147</t>
  </si>
  <si>
    <t>3.859</t>
  </si>
  <si>
    <t>—</t>
  </si>
  <si>
    <t>Przychody z opłat abonenckich, zrealizowanego ruchu i rozliczeń międzyoperatorskich (MVNO)</t>
  </si>
  <si>
    <t>1.005</t>
  </si>
  <si>
    <t>1.458</t>
  </si>
  <si>
    <t>2.207</t>
  </si>
  <si>
    <t>5.550</t>
  </si>
  <si>
    <t>3.354</t>
  </si>
  <si>
    <t>4.263</t>
  </si>
  <si>
    <t>5.341</t>
  </si>
  <si>
    <t>6.540</t>
  </si>
  <si>
    <t>19.498</t>
  </si>
  <si>
    <t>31.346</t>
  </si>
  <si>
    <t>33.000</t>
  </si>
  <si>
    <t>26.770</t>
  </si>
  <si>
    <t>5.177</t>
  </si>
  <si>
    <t>5.036</t>
  </si>
  <si>
    <t>3.272</t>
  </si>
  <si>
    <t>4.071</t>
  </si>
  <si>
    <t>17.556</t>
  </si>
  <si>
    <t>5.218</t>
  </si>
  <si>
    <t>4.894</t>
  </si>
  <si>
    <t>4.863</t>
  </si>
  <si>
    <t>4.171</t>
  </si>
  <si>
    <t>19.611</t>
  </si>
  <si>
    <t>4.972</t>
  </si>
  <si>
    <t>6.934</t>
  </si>
  <si>
    <t>5.231</t>
  </si>
  <si>
    <t>7.048</t>
  </si>
  <si>
    <t>24.185</t>
  </si>
  <si>
    <t>7.234</t>
  </si>
  <si>
    <t>8.561</t>
  </si>
  <si>
    <t>8.485</t>
  </si>
  <si>
    <t>9.466</t>
  </si>
  <si>
    <t>33.746</t>
  </si>
  <si>
    <t>5.170</t>
  </si>
  <si>
    <t>3.963</t>
  </si>
  <si>
    <t>4.057</t>
  </si>
  <si>
    <t>3.196</t>
  </si>
  <si>
    <t>1.169</t>
  </si>
  <si>
    <t>4.306</t>
  </si>
  <si>
    <t>9.387</t>
  </si>
  <si>
    <t>6.304</t>
  </si>
  <si>
    <t>13.600</t>
  </si>
  <si>
    <t>10.959</t>
  </si>
  <si>
    <t>1.747</t>
  </si>
  <si>
    <t>20.206</t>
  </si>
  <si>
    <t>9.024</t>
  </si>
  <si>
    <t>1.185</t>
  </si>
  <si>
    <t>1.145</t>
  </si>
  <si>
    <t>1.653</t>
  </si>
  <si>
    <t>12.541</t>
  </si>
  <si>
    <t>1.116</t>
  </si>
  <si>
    <t>8.908</t>
  </si>
  <si>
    <t>2.293</t>
  </si>
  <si>
    <t>2.000</t>
  </si>
  <si>
    <t>13.970</t>
  </si>
  <si>
    <t>Przychody z działalności operacyjnej</t>
  </si>
  <si>
    <t>182.839</t>
  </si>
  <si>
    <t>281.943</t>
  </si>
  <si>
    <t>482.546</t>
  </si>
  <si>
    <t>181.575</t>
  </si>
  <si>
    <t>173.113</t>
  </si>
  <si>
    <t>198.655</t>
  </si>
  <si>
    <t>243.326</t>
  </si>
  <si>
    <t>796.669</t>
  </si>
  <si>
    <t>248.750</t>
  </si>
  <si>
    <t>277.746</t>
  </si>
  <si>
    <t>290.613</t>
  </si>
  <si>
    <t>313.510</t>
  </si>
  <si>
    <t>1.118.680</t>
  </si>
  <si>
    <t>317.310</t>
  </si>
  <si>
    <t>307.952</t>
  </si>
  <si>
    <t>314.944</t>
  </si>
  <si>
    <t>338.938</t>
  </si>
  <si>
    <t>1.278.678</t>
  </si>
  <si>
    <t>375.112</t>
  </si>
  <si>
    <t>377.173</t>
  </si>
  <si>
    <t>365.862</t>
  </si>
  <si>
    <t>378.633</t>
  </si>
  <si>
    <t>1.496.433</t>
  </si>
  <si>
    <t>Koszty</t>
  </si>
  <si>
    <t>61.144</t>
  </si>
  <si>
    <t>50.116</t>
  </si>
  <si>
    <t>32.534</t>
  </si>
  <si>
    <t>4.560</t>
  </si>
  <si>
    <t>4.808</t>
  </si>
  <si>
    <t>3.043</t>
  </si>
  <si>
    <t>8.366</t>
  </si>
  <si>
    <t>20.777</t>
  </si>
  <si>
    <t>5.138</t>
  </si>
  <si>
    <t>4.158</t>
  </si>
  <si>
    <t>7.134</t>
  </si>
  <si>
    <t>7.117</t>
  </si>
  <si>
    <t>23.547</t>
  </si>
  <si>
    <t>8.255</t>
  </si>
  <si>
    <t>9.661</t>
  </si>
  <si>
    <t>10.992</t>
  </si>
  <si>
    <t>13.040</t>
  </si>
  <si>
    <t>41.948</t>
  </si>
  <si>
    <t>15.996</t>
  </si>
  <si>
    <t>18.966</t>
  </si>
  <si>
    <t>22.054</t>
  </si>
  <si>
    <t>24.174</t>
  </si>
  <si>
    <t>81.190</t>
  </si>
  <si>
    <t>22.724</t>
  </si>
  <si>
    <t>28.555</t>
  </si>
  <si>
    <t>68.647</t>
  </si>
  <si>
    <t>34.274</t>
  </si>
  <si>
    <t>35.613</t>
  </si>
  <si>
    <t>40.596</t>
  </si>
  <si>
    <t>41.548</t>
  </si>
  <si>
    <t>152.031</t>
  </si>
  <si>
    <t>50.656</t>
  </si>
  <si>
    <t>46.119</t>
  </si>
  <si>
    <t>54.952</t>
  </si>
  <si>
    <t>71.131</t>
  </si>
  <si>
    <t>226.231</t>
  </si>
  <si>
    <t>97.563</t>
  </si>
  <si>
    <t>89.430</t>
  </si>
  <si>
    <t>87.186</t>
  </si>
  <si>
    <t>80.216</t>
  </si>
  <si>
    <t>354.395</t>
  </si>
  <si>
    <t>92.716</t>
  </si>
  <si>
    <t>101.879</t>
  </si>
  <si>
    <t>97.544</t>
  </si>
  <si>
    <t>99.896</t>
  </si>
  <si>
    <t>392.035</t>
  </si>
  <si>
    <t>33.792</t>
  </si>
  <si>
    <t>30.889</t>
  </si>
  <si>
    <t>36.083</t>
  </si>
  <si>
    <t>10.488</t>
  </si>
  <si>
    <t>11.236</t>
  </si>
  <si>
    <t>12.433</t>
  </si>
  <si>
    <t>14.245</t>
  </si>
  <si>
    <t>48.402</t>
  </si>
  <si>
    <t>15.045</t>
  </si>
  <si>
    <t>14.450</t>
  </si>
  <si>
    <t>14.555</t>
  </si>
  <si>
    <t>15.680</t>
  </si>
  <si>
    <t>59.006</t>
  </si>
  <si>
    <t>19.756</t>
  </si>
  <si>
    <t>21.079</t>
  </si>
  <si>
    <t>21.700</t>
  </si>
  <si>
    <t>20.035</t>
  </si>
  <si>
    <t>82.570</t>
  </si>
  <si>
    <t>20.445</t>
  </si>
  <si>
    <t>20.860</t>
  </si>
  <si>
    <t>20.552</t>
  </si>
  <si>
    <t>17.998</t>
  </si>
  <si>
    <t>79.855</t>
  </si>
  <si>
    <t>Koszty dystrybucji, marketingu,obsługi i utrzymania klienta</t>
  </si>
  <si>
    <t>9.914</t>
  </si>
  <si>
    <t>28.931</t>
  </si>
  <si>
    <t>66.021</t>
  </si>
  <si>
    <t>19.795</t>
  </si>
  <si>
    <t>24.669</t>
  </si>
  <si>
    <t>24.772</t>
  </si>
  <si>
    <t>56.683</t>
  </si>
  <si>
    <t>125.919</t>
  </si>
  <si>
    <t>38.138</t>
  </si>
  <si>
    <t>44.736</t>
  </si>
  <si>
    <t>43.516</t>
  </si>
  <si>
    <t>76.019</t>
  </si>
  <si>
    <t>205.935</t>
  </si>
  <si>
    <t>51.228</t>
  </si>
  <si>
    <t>63.421</t>
  </si>
  <si>
    <t>61.769</t>
  </si>
  <si>
    <t>85.929</t>
  </si>
  <si>
    <t>262.347</t>
  </si>
  <si>
    <t>67.477</t>
  </si>
  <si>
    <t>67.883</t>
  </si>
  <si>
    <t>68.716</t>
  </si>
  <si>
    <t>93.243</t>
  </si>
  <si>
    <t>297.319</t>
  </si>
  <si>
    <t>12.594</t>
  </si>
  <si>
    <t>16.578</t>
  </si>
  <si>
    <t>19.640</t>
  </si>
  <si>
    <t>5.718</t>
  </si>
  <si>
    <t>6.165</t>
  </si>
  <si>
    <t>8.005</t>
  </si>
  <si>
    <t>21.813</t>
  </si>
  <si>
    <t>41.701</t>
  </si>
  <si>
    <t>10.351</t>
  </si>
  <si>
    <t>12.156</t>
  </si>
  <si>
    <t>13.394</t>
  </si>
  <si>
    <t>27.294</t>
  </si>
  <si>
    <t>15.472</t>
  </si>
  <si>
    <t>14.333</t>
  </si>
  <si>
    <t>14.371</t>
  </si>
  <si>
    <t>28.611</t>
  </si>
  <si>
    <t>72.787</t>
  </si>
  <si>
    <t>17.958</t>
  </si>
  <si>
    <t>21.149</t>
  </si>
  <si>
    <t>20.828</t>
  </si>
  <si>
    <t>28.413</t>
  </si>
  <si>
    <t>88.348</t>
  </si>
  <si>
    <t>21.153</t>
  </si>
  <si>
    <t>97.311</t>
  </si>
  <si>
    <t>179.667</t>
  </si>
  <si>
    <t>57.221</t>
  </si>
  <si>
    <t>20.090</t>
  </si>
  <si>
    <t>36.694</t>
  </si>
  <si>
    <t>95.023</t>
  </si>
  <si>
    <t>209.028</t>
  </si>
  <si>
    <t>31.913</t>
  </si>
  <si>
    <t>32.129</t>
  </si>
  <si>
    <t>27.551</t>
  </si>
  <si>
    <t>46.131</t>
  </si>
  <si>
    <t>137.547</t>
  </si>
  <si>
    <t>18.000</t>
  </si>
  <si>
    <t>17.067</t>
  </si>
  <si>
    <t>25.199</t>
  </si>
  <si>
    <t>29.470</t>
  </si>
  <si>
    <t>89.736</t>
  </si>
  <si>
    <t>18.233</t>
  </si>
  <si>
    <t>13.617</t>
  </si>
  <si>
    <t>9.802</t>
  </si>
  <si>
    <t>17.894</t>
  </si>
  <si>
    <t>59.546</t>
  </si>
  <si>
    <t>Koszt własny sprzedanego sprzętu elektronicznego</t>
  </si>
  <si>
    <t>3.668</t>
  </si>
  <si>
    <t>22.212</t>
  </si>
  <si>
    <t>61.774</t>
  </si>
  <si>
    <t>15.809</t>
  </si>
  <si>
    <t>14.889</t>
  </si>
  <si>
    <t>19.868</t>
  </si>
  <si>
    <t>24.009</t>
  </si>
  <si>
    <t>74.575</t>
  </si>
  <si>
    <t>24.289</t>
  </si>
  <si>
    <t>31.304</t>
  </si>
  <si>
    <t>32.370</t>
  </si>
  <si>
    <t>35.996</t>
  </si>
  <si>
    <t>123.959</t>
  </si>
  <si>
    <t>Pozostałe koszty operacyjne</t>
  </si>
  <si>
    <t>29.251</t>
  </si>
  <si>
    <t>29.580</t>
  </si>
  <si>
    <t>38.118</t>
  </si>
  <si>
    <t>5.692</t>
  </si>
  <si>
    <t>19.141</t>
  </si>
  <si>
    <t>12.973</t>
  </si>
  <si>
    <t>15.858</t>
  </si>
  <si>
    <t>53.664</t>
  </si>
  <si>
    <t>14.002</t>
  </si>
  <si>
    <t>25.989</t>
  </si>
  <si>
    <t>27.265</t>
  </si>
  <si>
    <t>7.216</t>
  </si>
  <si>
    <t>18.577</t>
  </si>
  <si>
    <t>5.875</t>
  </si>
  <si>
    <t>10.000</t>
  </si>
  <si>
    <t>2.318</t>
  </si>
  <si>
    <t>6.543</t>
  </si>
  <si>
    <t>24.270</t>
  </si>
  <si>
    <t>11.104</t>
  </si>
  <si>
    <t>11.786</t>
  </si>
  <si>
    <t>12.481</t>
  </si>
  <si>
    <t>13.403</t>
  </si>
  <si>
    <t>48.427</t>
  </si>
  <si>
    <t>Koszty działalności operacyjnej</t>
  </si>
  <si>
    <t>191.449</t>
  </si>
  <si>
    <t>285.628</t>
  </si>
  <si>
    <t>440.710</t>
  </si>
  <si>
    <t>137.748</t>
  </si>
  <si>
    <t>121.722</t>
  </si>
  <si>
    <t>138.516</t>
  </si>
  <si>
    <t>253.536</t>
  </si>
  <si>
    <t>651.522</t>
  </si>
  <si>
    <t>165.243</t>
  </si>
  <si>
    <t>179.771</t>
  </si>
  <si>
    <t>188.511</t>
  </si>
  <si>
    <t>272.800</t>
  </si>
  <si>
    <t>794.386</t>
  </si>
  <si>
    <t>231.958</t>
  </si>
  <si>
    <t>239.880</t>
  </si>
  <si>
    <t>243.403</t>
  </si>
  <si>
    <t>287.853</t>
  </si>
  <si>
    <t>1.002.628</t>
  </si>
  <si>
    <t>268.218</t>
  </si>
  <si>
    <t>287.444</t>
  </si>
  <si>
    <t>284.347</t>
  </si>
  <si>
    <t>331.017</t>
  </si>
  <si>
    <t>1.170.679</t>
  </si>
  <si>
    <t>Zysk/(strata) z działalności operacyjnej</t>
  </si>
  <si>
    <t xml:space="preserve"> -8.610</t>
  </si>
  <si>
    <t xml:space="preserve"> -3.685</t>
  </si>
  <si>
    <t>41.836</t>
  </si>
  <si>
    <t>43.827</t>
  </si>
  <si>
    <t>51.391</t>
  </si>
  <si>
    <t>60.139</t>
  </si>
  <si>
    <t xml:space="preserve">  -10.210</t>
  </si>
  <si>
    <t>145.147</t>
  </si>
  <si>
    <t>83.507</t>
  </si>
  <si>
    <t>97.975</t>
  </si>
  <si>
    <t>102.102</t>
  </si>
  <si>
    <t>40.710</t>
  </si>
  <si>
    <t>324.294</t>
  </si>
  <si>
    <t>85.352</t>
  </si>
  <si>
    <t>68.072</t>
  </si>
  <si>
    <t>71.541</t>
  </si>
  <si>
    <t>51.085</t>
  </si>
  <si>
    <t>276.050</t>
  </si>
  <si>
    <t>106.894</t>
  </si>
  <si>
    <t>89.729</t>
  </si>
  <si>
    <t>81.515</t>
  </si>
  <si>
    <t>47.616</t>
  </si>
  <si>
    <t>325.754</t>
  </si>
  <si>
    <t>58.925</t>
  </si>
  <si>
    <t>3.323</t>
  </si>
  <si>
    <t>43.248</t>
  </si>
  <si>
    <t>2.276</t>
  </si>
  <si>
    <t>7.904</t>
  </si>
  <si>
    <t>8.725</t>
  </si>
  <si>
    <t>1.740</t>
  </si>
  <si>
    <t>18.976</t>
  </si>
  <si>
    <t>3.821</t>
  </si>
  <si>
    <t>5.680</t>
  </si>
  <si>
    <t>6.992</t>
  </si>
  <si>
    <t>19.593</t>
  </si>
  <si>
    <t>33.309</t>
  </si>
  <si>
    <t>12.939</t>
  </si>
  <si>
    <t>4.823</t>
  </si>
  <si>
    <t>3.314</t>
  </si>
  <si>
    <t>14.319</t>
  </si>
  <si>
    <t>5.295</t>
  </si>
  <si>
    <t>1.012</t>
  </si>
  <si>
    <t>1.288</t>
  </si>
  <si>
    <t>16.195</t>
  </si>
  <si>
    <t>36.753</t>
  </si>
  <si>
    <t>14.170</t>
  </si>
  <si>
    <t>4.676</t>
  </si>
  <si>
    <t>4.670</t>
  </si>
  <si>
    <t>12.345</t>
  </si>
  <si>
    <t>3.914</t>
  </si>
  <si>
    <t>23.936</t>
  </si>
  <si>
    <t>7.793</t>
  </si>
  <si>
    <t>5.966</t>
  </si>
  <si>
    <t>5.012</t>
  </si>
  <si>
    <t>7.955</t>
  </si>
  <si>
    <t>23.949</t>
  </si>
  <si>
    <t>8.415</t>
  </si>
  <si>
    <t>3.506</t>
  </si>
  <si>
    <t>1.134</t>
  </si>
  <si>
    <t>6.032</t>
  </si>
  <si>
    <t>7.107</t>
  </si>
  <si>
    <t>2.488</t>
  </si>
  <si>
    <t>1.034</t>
  </si>
  <si>
    <t>5.760</t>
  </si>
  <si>
    <t>Strata na sprzedaży udziałów jednostki podporządkowanej</t>
  </si>
  <si>
    <t>Zysk/(strata) brutto</t>
  </si>
  <si>
    <t>34.120</t>
  </si>
  <si>
    <t>-37.115</t>
  </si>
  <si>
    <t>70.914</t>
  </si>
  <si>
    <t>41.427</t>
  </si>
  <si>
    <t>54.625</t>
  </si>
  <si>
    <t>56.502</t>
  </si>
  <si>
    <t>-12.384</t>
  </si>
  <si>
    <t>140.170</t>
  </si>
  <si>
    <t>79.535</t>
  </si>
  <si>
    <t>97.689</t>
  </si>
  <si>
    <t>104.082</t>
  </si>
  <si>
    <t>52.348</t>
  </si>
  <si>
    <t>333.654</t>
  </si>
  <si>
    <t>89.876</t>
  </si>
  <si>
    <t>69.389</t>
  </si>
  <si>
    <t>73.721</t>
  </si>
  <si>
    <t>51.351</t>
  </si>
  <si>
    <t>284.337</t>
  </si>
  <si>
    <t>106.432</t>
  </si>
  <si>
    <t>82.934</t>
  </si>
  <si>
    <t>84.322</t>
  </si>
  <si>
    <t>47.594</t>
  </si>
  <si>
    <t>321.282</t>
  </si>
  <si>
    <t>7.720</t>
  </si>
  <si>
    <t>-2.412</t>
  </si>
  <si>
    <t>15.081</t>
  </si>
  <si>
    <t>9.359</t>
  </si>
  <si>
    <t>9.688</t>
  </si>
  <si>
    <t>11.171</t>
  </si>
  <si>
    <t>-3.463</t>
  </si>
  <si>
    <t>26.755</t>
  </si>
  <si>
    <t>15.527</t>
  </si>
  <si>
    <t>18.734</t>
  </si>
  <si>
    <t>19.876</t>
  </si>
  <si>
    <t>9.754</t>
  </si>
  <si>
    <t>63.891</t>
  </si>
  <si>
    <t>17.227</t>
  </si>
  <si>
    <t>13.323</t>
  </si>
  <si>
    <t>13.561</t>
  </si>
  <si>
    <t>9.907</t>
  </si>
  <si>
    <t>54.018</t>
  </si>
  <si>
    <t>20.298</t>
  </si>
  <si>
    <t>15.940</t>
  </si>
  <si>
    <t>15.929</t>
  </si>
  <si>
    <t>10.645</t>
  </si>
  <si>
    <t>62.812</t>
  </si>
  <si>
    <t>Zysk/(strata) netto z działalności kontynuowanej</t>
  </si>
  <si>
    <t>26.400</t>
  </si>
  <si>
    <t>-34.703</t>
  </si>
  <si>
    <t>55.833</t>
  </si>
  <si>
    <t>32.068</t>
  </si>
  <si>
    <t>44.937</t>
  </si>
  <si>
    <t>45.331</t>
  </si>
  <si>
    <t>-8.921</t>
  </si>
  <si>
    <t>113.415</t>
  </si>
  <si>
    <t>64.008</t>
  </si>
  <si>
    <t>78.955</t>
  </si>
  <si>
    <t>84.206</t>
  </si>
  <si>
    <t>42.594</t>
  </si>
  <si>
    <t>269.763</t>
  </si>
  <si>
    <t>72.649</t>
  </si>
  <si>
    <t>56.066</t>
  </si>
  <si>
    <t>60.160</t>
  </si>
  <si>
    <t>41.444</t>
  </si>
  <si>
    <t>230.319</t>
  </si>
  <si>
    <t>86.134</t>
  </si>
  <si>
    <t>66.994</t>
  </si>
  <si>
    <t>68.393</t>
  </si>
  <si>
    <t>36.949</t>
  </si>
  <si>
    <t>258.470</t>
  </si>
  <si>
    <t>Zysk/(strata) netto z działalności zaniechanej</t>
  </si>
  <si>
    <t xml:space="preserve">— </t>
  </si>
  <si>
    <t xml:space="preserve">Zysk/(strata) netto </t>
  </si>
  <si>
    <t>55.721</t>
  </si>
  <si>
    <t>32.076</t>
  </si>
  <si>
    <t>44.956</t>
  </si>
  <si>
    <t>45.312</t>
  </si>
  <si>
    <t>113.423</t>
  </si>
  <si>
    <t>52.534</t>
  </si>
  <si>
    <t>46.431</t>
  </si>
  <si>
    <t>74.370</t>
  </si>
  <si>
    <t>48.387</t>
  </si>
  <si>
    <t>56.199</t>
  </si>
  <si>
    <t>63.182</t>
  </si>
  <si>
    <t>-1.844</t>
  </si>
  <si>
    <t>165.924</t>
  </si>
  <si>
    <t>88.645</t>
  </si>
  <si>
    <t>102.133</t>
  </si>
  <si>
    <t>109.236</t>
  </si>
  <si>
    <t>47.827</t>
  </si>
  <si>
    <t>347.841</t>
  </si>
  <si>
    <t>93.607</t>
  </si>
  <si>
    <t>77.733</t>
  </si>
  <si>
    <t>82.533</t>
  </si>
  <si>
    <t>64.125</t>
  </si>
  <si>
    <t>317.998</t>
  </si>
  <si>
    <t>122.890</t>
  </si>
  <si>
    <t>108.695</t>
  </si>
  <si>
    <t>103.569</t>
  </si>
  <si>
    <t>71.791</t>
  </si>
  <si>
    <t>406.944</t>
  </si>
  <si>
    <t>1) Od 2010 roku przychody ze sprzedaży usług emisji i transmisji sygnału oraz przychody z dzierżawy zestawów odbiorczych, wcześniej prezentowane w osobnych pozycjach, prezentujemy w pozycji Pozostałe przychody ze sprzedaży. Dla porównywalności danych ujednoliciliśmy prezentację we wcześniejszych okresach.</t>
  </si>
  <si>
    <t>2) Od pierwszego kwartału 2011 roku zmieniliśmy prezentację przychodów, dane za 1Q'11 prezentujemy w osobnej tabeli - RZiS - do 1Q2014</t>
  </si>
  <si>
    <t>Q3'14</t>
  </si>
  <si>
    <t>30 września 2014 r.</t>
  </si>
  <si>
    <t>Płatności z tytułu koncesji</t>
  </si>
  <si>
    <t>1) pozycja ta jest połączona z pozycją "Inne korekty"</t>
  </si>
  <si>
    <t>31 grudnia 2014 r.</t>
  </si>
  <si>
    <t>Q4'14</t>
  </si>
  <si>
    <t>Udział w zysku wspólnego przedsięwzięcia wycenianego metodą praw własności</t>
  </si>
  <si>
    <t>Q1'15</t>
  </si>
  <si>
    <t>31 marca 2015 r.</t>
  </si>
  <si>
    <t>w tym aktywa z tytułu instrumentów pochodnych</t>
  </si>
  <si>
    <t>w tym zobowiązania z tytułu instrumentów pochodnych</t>
  </si>
  <si>
    <t>Środki pieniężne i ich ekwiwalenty na koniec okresu</t>
  </si>
  <si>
    <t>Zaciągnięcie kredytów</t>
  </si>
  <si>
    <t>Q2'15</t>
  </si>
  <si>
    <t>30 czerwca 2015 r.</t>
  </si>
  <si>
    <t xml:space="preserve">30 czerwca 2014 r. </t>
  </si>
  <si>
    <t>Q3'15</t>
  </si>
  <si>
    <t>30 września 2015 r.</t>
  </si>
  <si>
    <t>Wpływy z realizacji instrumentów pochodnych</t>
  </si>
  <si>
    <t>GRUPA KAPITAŁOWA CYFROWY POLSAT S.A.</t>
  </si>
  <si>
    <t>SKONSOLIDOWANY RACHUNEK ZYSKÓW I STRAT</t>
  </si>
  <si>
    <t>(w mln PLN)</t>
  </si>
  <si>
    <r>
      <t>Zyski i straty z działalności inwestycyjnej, netto</t>
    </r>
    <r>
      <rPr>
        <vertAlign val="superscript"/>
        <sz val="10"/>
        <color indexed="8"/>
        <rFont val="Calibri"/>
        <family val="2"/>
        <charset val="238"/>
      </rPr>
      <t xml:space="preserve"> </t>
    </r>
  </si>
  <si>
    <t>Q1</t>
  </si>
  <si>
    <t>Q2</t>
  </si>
  <si>
    <t>Q3</t>
  </si>
  <si>
    <t>Q4</t>
  </si>
  <si>
    <t xml:space="preserve">31 grudnia 2015 r. </t>
  </si>
  <si>
    <t>31 grudnia 2015 r.</t>
  </si>
  <si>
    <t>Q4'15</t>
  </si>
  <si>
    <t>31 marca 2016 r.</t>
  </si>
  <si>
    <t>Opcja wcześniejszej spłaty obligacji</t>
  </si>
  <si>
    <t>Prowizja za wcześniejszy wykup obligacji Senior Notes</t>
  </si>
  <si>
    <t>Q1'16</t>
  </si>
  <si>
    <t>Zysk netto przypadający na akcjonariuszy Jednostki Dominującej</t>
  </si>
  <si>
    <t>Podstawowy i rozwodniony zysk na jedną akcję w złotych</t>
  </si>
  <si>
    <t>Wpływy z realizacji instrumentów pochodnych - kapitał</t>
  </si>
  <si>
    <r>
      <t xml:space="preserve">Q1 </t>
    </r>
    <r>
      <rPr>
        <b/>
        <vertAlign val="superscript"/>
        <sz val="10"/>
        <color indexed="8"/>
        <rFont val="Calibri"/>
        <family val="2"/>
        <charset val="238"/>
      </rPr>
      <t>1)</t>
    </r>
  </si>
  <si>
    <t>30 czerwca 2016 r.</t>
  </si>
  <si>
    <t>6 miesiecy do</t>
  </si>
  <si>
    <t>Q2'16</t>
  </si>
  <si>
    <r>
      <rPr>
        <vertAlign val="superscript"/>
        <sz val="9"/>
        <color indexed="8"/>
        <rFont val="Calibri"/>
        <family val="2"/>
        <charset val="238"/>
      </rPr>
      <t>3)</t>
    </r>
    <r>
      <rPr>
        <sz val="9"/>
        <color indexed="8"/>
        <rFont val="Calibri"/>
        <family val="2"/>
        <charset val="238"/>
      </rPr>
      <t xml:space="preserve"> Zmiana prezentacji od 30 czerwca 2012 roku. Dane na 31 grudnia 2011 roku zostały przekształcone w celu uzgodnienia prezentacji</t>
    </r>
  </si>
  <si>
    <r>
      <rPr>
        <vertAlign val="superscript"/>
        <sz val="9"/>
        <color indexed="8"/>
        <rFont val="Calibri"/>
        <family val="2"/>
        <charset val="238"/>
      </rPr>
      <t>2)</t>
    </r>
    <r>
      <rPr>
        <sz val="9"/>
        <color indexed="8"/>
        <rFont val="Calibri"/>
        <family val="2"/>
        <charset val="238"/>
      </rPr>
      <t xml:space="preserve"> Na koniec czerwca 2012 roku, Grupa dokonała reklasyfikacji pomiędzy należnościami i przychodami przyszłych okresów. Dane na 31 grudnia 2011 roku zostały przekształcone w celu uzgodnienia prezentacji.</t>
    </r>
  </si>
  <si>
    <r>
      <rPr>
        <vertAlign val="superscript"/>
        <sz val="9"/>
        <color indexed="8"/>
        <rFont val="Calibri"/>
        <family val="2"/>
        <charset val="238"/>
      </rPr>
      <t>1)</t>
    </r>
    <r>
      <rPr>
        <sz val="9"/>
        <color indexed="8"/>
        <rFont val="Calibri"/>
        <family val="2"/>
        <charset val="238"/>
      </rPr>
      <t xml:space="preserve"> Na koniec czerwca 2012 roku, Grupa zmieniła prezentację Innych aktywów długoterminowych i Pozostałych aktywów obrotowych w skonsolidowanym bilansie.  Ponadto Grupa wydzieliła i zaprezentowała osobno Długoterminowe prowizje rozliczane w czasie i Krótkoterminowe prowizje rozliczane w czasie z odpowiednio Innych aktywów długoterminowych i Pozostałych aktywów obrotowych. Dane na 31 grudnia 2011 roku zostały przekształcone w celu uzgodnienia prezentacji.</t>
    </r>
  </si>
  <si>
    <r>
      <rPr>
        <vertAlign val="superscript"/>
        <sz val="9"/>
        <color indexed="8"/>
        <rFont val="Calibri"/>
        <family val="2"/>
        <charset val="238"/>
      </rPr>
      <t>4)</t>
    </r>
    <r>
      <rPr>
        <sz val="9"/>
        <color indexed="8"/>
        <rFont val="Calibri"/>
        <family val="2"/>
        <charset val="238"/>
      </rPr>
      <t xml:space="preserve"> Przekszatłcenie w wyniku finalizacji procesu alokacji ceny nabycia Metelem.</t>
    </r>
  </si>
  <si>
    <r>
      <rPr>
        <vertAlign val="superscript"/>
        <sz val="9"/>
        <color indexed="8"/>
        <rFont val="Calibri"/>
        <family val="2"/>
        <charset val="238"/>
      </rPr>
      <t>5)</t>
    </r>
    <r>
      <rPr>
        <sz val="9"/>
        <color indexed="8"/>
        <rFont val="Calibri"/>
        <family val="2"/>
        <charset val="238"/>
      </rPr>
      <t xml:space="preserve"> Od 30 czerwca 2015 roku pozycja "Kaucje otrzymane za wydane sprzęt" została ujęta w pozycji "Zobowiązania z tytułu dostaw i usług oraz pozostałe zobowiązania".</t>
    </r>
  </si>
  <si>
    <t>Relacje z klientami</t>
  </si>
  <si>
    <t>Zobowiązania z tytułu koncesji UMTS</t>
  </si>
  <si>
    <t>31 grudnia 2011 r.
przekształcony</t>
  </si>
  <si>
    <t>Wpływy ze zbycia udziałów</t>
  </si>
  <si>
    <r>
      <t>Spłata odsetek od kredytów, pożyczek, obligacji, leasingu finansowego i zapłacone prowizje</t>
    </r>
    <r>
      <rPr>
        <vertAlign val="superscript"/>
        <sz val="9"/>
        <color indexed="8"/>
        <rFont val="Calibri"/>
        <family val="2"/>
        <charset val="238"/>
      </rPr>
      <t>2)</t>
    </r>
  </si>
  <si>
    <t>Emisja obligacji/(Wykup obligacji)</t>
  </si>
  <si>
    <t>30 września 2016 r.</t>
  </si>
  <si>
    <t>Q3'16</t>
  </si>
  <si>
    <t>Zysk brutto za okres</t>
  </si>
  <si>
    <t>Zysk netto za okres</t>
  </si>
  <si>
    <t>3) Spłata zobowiązań z tytułu leasingu finansowego ujęta w pozycji "Inne wydatki".</t>
  </si>
  <si>
    <t xml:space="preserve">31 grudnia 2016 r. </t>
  </si>
  <si>
    <t>Q4'16</t>
  </si>
  <si>
    <t>1) Wyniki Grupy Aero2 konsolidowane od 29 lutego 2016</t>
  </si>
  <si>
    <r>
      <t xml:space="preserve">2016 </t>
    </r>
    <r>
      <rPr>
        <b/>
        <vertAlign val="superscript"/>
        <sz val="10"/>
        <color indexed="8"/>
        <rFont val="Calibri"/>
        <family val="2"/>
        <charset val="238"/>
      </rPr>
      <t>1)</t>
    </r>
  </si>
  <si>
    <t>CYFROWY POLSAT S.A. CAPITAL GROUP</t>
  </si>
  <si>
    <t>CONSOLIDATED INCOME STATEMENT</t>
  </si>
  <si>
    <t>(in millions of PLN)</t>
  </si>
  <si>
    <t>Revenue</t>
  </si>
  <si>
    <t>Retail revenue</t>
  </si>
  <si>
    <t>Wholesale revenue</t>
  </si>
  <si>
    <t xml:space="preserve">Sale of equipment </t>
  </si>
  <si>
    <t>Other revenue</t>
  </si>
  <si>
    <t>Operating costs</t>
  </si>
  <si>
    <t>Content costs</t>
  </si>
  <si>
    <t>Distribution, marketing, customer relation management and retention costs</t>
  </si>
  <si>
    <t>Depreciation, amortization, impairment and liquidation</t>
  </si>
  <si>
    <t>Technical costs and cost of settlements with telecommunication operators</t>
  </si>
  <si>
    <t>Salaries and employee-related costs</t>
  </si>
  <si>
    <t>Cost of equipment sold</t>
  </si>
  <si>
    <t>Cost of debt collection services and bad debt allowance and receivables written off</t>
  </si>
  <si>
    <t>Other costs</t>
  </si>
  <si>
    <t>Other operating income, net</t>
  </si>
  <si>
    <t>Profit from operating activities</t>
  </si>
  <si>
    <t>Gain/loss on investment activities, net</t>
  </si>
  <si>
    <t>Finance costs</t>
  </si>
  <si>
    <t>Gross profit for the period</t>
  </si>
  <si>
    <t>Income tax</t>
  </si>
  <si>
    <t>Net profit for the period</t>
  </si>
  <si>
    <t>Net profit attributable to equity holders of the Parent</t>
  </si>
  <si>
    <t>Net profit/(loss) attributable to non-controlling interest</t>
  </si>
  <si>
    <t>Basic and diluted earnings per share (in PLN)</t>
  </si>
  <si>
    <t>EBITDA margin</t>
  </si>
  <si>
    <t>1) Results of Midas Group consolidated from February 29, 2016</t>
  </si>
  <si>
    <r>
      <t>Długoterminowe prowizje dla dystrybutorów rozliczane w czasie</t>
    </r>
    <r>
      <rPr>
        <vertAlign val="superscript"/>
        <sz val="10"/>
        <color indexed="8"/>
        <rFont val="Calibri"/>
        <family val="2"/>
        <charset val="238"/>
      </rPr>
      <t>1)</t>
    </r>
  </si>
  <si>
    <r>
      <t>Inne aktywa długoterminowe</t>
    </r>
    <r>
      <rPr>
        <vertAlign val="superscript"/>
        <sz val="10"/>
        <color indexed="8"/>
        <rFont val="Calibri"/>
        <family val="2"/>
        <charset val="238"/>
      </rPr>
      <t>1)</t>
    </r>
  </si>
  <si>
    <r>
      <t>Należności z tytułu dostaw i usług oraz pozostałe należności</t>
    </r>
    <r>
      <rPr>
        <vertAlign val="superscript"/>
        <sz val="10"/>
        <color indexed="8"/>
        <rFont val="Calibri"/>
        <family val="2"/>
        <charset val="238"/>
      </rPr>
      <t>2)</t>
    </r>
  </si>
  <si>
    <r>
      <t>Krótkoterminowe prowizje dla dystrybutorów rozliczane w czasie</t>
    </r>
    <r>
      <rPr>
        <vertAlign val="superscript"/>
        <sz val="10"/>
        <color indexed="8"/>
        <rFont val="Calibri"/>
        <family val="2"/>
        <charset val="238"/>
      </rPr>
      <t>1)</t>
    </r>
  </si>
  <si>
    <r>
      <t>Pozostałe aktywa obrotowe</t>
    </r>
    <r>
      <rPr>
        <vertAlign val="superscript"/>
        <sz val="10"/>
        <color indexed="8"/>
        <rFont val="Calibri"/>
        <family val="2"/>
        <charset val="238"/>
      </rPr>
      <t>1)</t>
    </r>
  </si>
  <si>
    <r>
      <t>Nadwyżka wartości emisyjnej akcji powyżej ich wartości nominalnej</t>
    </r>
    <r>
      <rPr>
        <vertAlign val="superscript"/>
        <sz val="10"/>
        <color indexed="8"/>
        <rFont val="Calibri"/>
        <family val="2"/>
        <charset val="238"/>
      </rPr>
      <t>3)</t>
    </r>
  </si>
  <si>
    <r>
      <t>Pozostałe kapitały</t>
    </r>
    <r>
      <rPr>
        <vertAlign val="superscript"/>
        <sz val="10"/>
        <color indexed="8"/>
        <rFont val="Calibri"/>
        <family val="2"/>
        <charset val="238"/>
      </rPr>
      <t>3)</t>
    </r>
  </si>
  <si>
    <r>
      <t>Przychody przyszłych okresów</t>
    </r>
    <r>
      <rPr>
        <vertAlign val="superscript"/>
        <sz val="10"/>
        <color indexed="8"/>
        <rFont val="Calibri"/>
        <family val="2"/>
        <charset val="238"/>
      </rPr>
      <t>2)</t>
    </r>
  </si>
  <si>
    <r>
      <t xml:space="preserve">31 grudnia 2014 r. przekształcony </t>
    </r>
    <r>
      <rPr>
        <b/>
        <vertAlign val="superscript"/>
        <sz val="10"/>
        <color indexed="8"/>
        <rFont val="Calibri"/>
        <family val="2"/>
        <charset val="238"/>
      </rPr>
      <t>4)</t>
    </r>
  </si>
  <si>
    <t>SKONSOLIDOWANY BILANS
w milionach złotych</t>
  </si>
  <si>
    <t>in millions of PLN</t>
  </si>
  <si>
    <t>ASSETS</t>
  </si>
  <si>
    <t>Reception equipment</t>
  </si>
  <si>
    <t>Other property, plant and equipment</t>
  </si>
  <si>
    <t>Goodwill</t>
  </si>
  <si>
    <t>Customer relationships</t>
  </si>
  <si>
    <t>Brands</t>
  </si>
  <si>
    <t xml:space="preserve">Other intangible assets </t>
  </si>
  <si>
    <t>Non-current programming assets</t>
  </si>
  <si>
    <t>Investment property</t>
  </si>
  <si>
    <r>
      <t>Non-current deferred distribution fees</t>
    </r>
    <r>
      <rPr>
        <vertAlign val="superscript"/>
        <sz val="10"/>
        <color indexed="8"/>
        <rFont val="Calibri"/>
        <family val="2"/>
        <charset val="238"/>
      </rPr>
      <t>1)</t>
    </r>
  </si>
  <si>
    <t>Early redemption option</t>
  </si>
  <si>
    <r>
      <t>Other non-current assets</t>
    </r>
    <r>
      <rPr>
        <vertAlign val="superscript"/>
        <sz val="10"/>
        <color indexed="8"/>
        <rFont val="Calibri"/>
        <family val="2"/>
        <charset val="238"/>
      </rPr>
      <t>1)</t>
    </r>
  </si>
  <si>
    <t>includes derivative instruments assets</t>
  </si>
  <si>
    <t>Deferred tax assets</t>
  </si>
  <si>
    <t>Total non-current assets</t>
  </si>
  <si>
    <t>Current programming assets</t>
  </si>
  <si>
    <t>Inventories</t>
  </si>
  <si>
    <t>Loans granted to related parties</t>
  </si>
  <si>
    <t>Bonds</t>
  </si>
  <si>
    <r>
      <t>Trade and other receivables</t>
    </r>
    <r>
      <rPr>
        <vertAlign val="superscript"/>
        <sz val="10"/>
        <color indexed="8"/>
        <rFont val="Calibri"/>
        <family val="2"/>
        <charset val="238"/>
      </rPr>
      <t>2)</t>
    </r>
  </si>
  <si>
    <t>Income tax receivable</t>
  </si>
  <si>
    <r>
      <t>Current deferred distribution fees</t>
    </r>
    <r>
      <rPr>
        <vertAlign val="superscript"/>
        <sz val="10"/>
        <color indexed="8"/>
        <rFont val="Calibri"/>
        <family val="2"/>
        <charset val="238"/>
      </rPr>
      <t>1)</t>
    </r>
  </si>
  <si>
    <r>
      <t>Other current assets</t>
    </r>
    <r>
      <rPr>
        <vertAlign val="superscript"/>
        <sz val="10"/>
        <color indexed="8"/>
        <rFont val="Calibri"/>
        <family val="2"/>
        <charset val="238"/>
      </rPr>
      <t>1)</t>
    </r>
  </si>
  <si>
    <t>Short-term deposits</t>
  </si>
  <si>
    <t>Cash and cash equivalents</t>
  </si>
  <si>
    <t>Restricted cash</t>
  </si>
  <si>
    <t>Assets held for sale</t>
  </si>
  <si>
    <t>Total current assets</t>
  </si>
  <si>
    <t>Total assets</t>
  </si>
  <si>
    <t>EQUITY AND LIABILITIES</t>
  </si>
  <si>
    <t>Share capital</t>
  </si>
  <si>
    <t>Reserve capital</t>
  </si>
  <si>
    <t>Other reserves</t>
  </si>
  <si>
    <r>
      <t>Share premium</t>
    </r>
    <r>
      <rPr>
        <vertAlign val="superscript"/>
        <sz val="10"/>
        <color indexed="8"/>
        <rFont val="Calibri"/>
        <family val="2"/>
        <charset val="238"/>
      </rPr>
      <t>3)</t>
    </r>
  </si>
  <si>
    <t>Hedge valuation reserve</t>
  </si>
  <si>
    <t>Currency translation adjustmnet</t>
  </si>
  <si>
    <r>
      <t>Other reserves</t>
    </r>
    <r>
      <rPr>
        <vertAlign val="superscript"/>
        <sz val="10"/>
        <color indexed="8"/>
        <rFont val="Calibri"/>
        <family val="2"/>
        <charset val="238"/>
      </rPr>
      <t>3)</t>
    </r>
  </si>
  <si>
    <t>Equity attributable to equity holders of the Parent</t>
  </si>
  <si>
    <t>Non-controlling interests</t>
  </si>
  <si>
    <t>Total equity</t>
  </si>
  <si>
    <t>Loans and borrowings</t>
  </si>
  <si>
    <t>Issued bonds</t>
  </si>
  <si>
    <t>Finance lease liabilities</t>
  </si>
  <si>
    <t>UMTS license liabilities</t>
  </si>
  <si>
    <t>Deferred tax liabilities</t>
  </si>
  <si>
    <r>
      <t>Deferred income</t>
    </r>
    <r>
      <rPr>
        <vertAlign val="superscript"/>
        <sz val="10"/>
        <color indexed="8"/>
        <rFont val="Calibri"/>
        <family val="2"/>
        <charset val="238"/>
      </rPr>
      <t>2)</t>
    </r>
  </si>
  <si>
    <t>Other non-current liabilities and provisions</t>
  </si>
  <si>
    <t>includes derivative instruments liabilities</t>
  </si>
  <si>
    <t>Total non-current liabilities</t>
  </si>
  <si>
    <t xml:space="preserve">Trade and other payables </t>
  </si>
  <si>
    <t>Income tax liability</t>
  </si>
  <si>
    <t>Deposits for equipment</t>
  </si>
  <si>
    <t>Liabilities related to non-current assets held for sale</t>
  </si>
  <si>
    <t>Total current liabilities</t>
  </si>
  <si>
    <t>Total liabilities</t>
  </si>
  <si>
    <r>
      <rPr>
        <vertAlign val="superscript"/>
        <sz val="9"/>
        <color indexed="8"/>
        <rFont val="Calibri"/>
        <family val="2"/>
        <charset val="238"/>
      </rPr>
      <t>2)</t>
    </r>
    <r>
      <rPr>
        <sz val="9"/>
        <color indexed="8"/>
        <rFont val="Calibri"/>
        <family val="2"/>
        <charset val="238"/>
      </rPr>
      <t xml:space="preserve"> As of June 30, 2012, the Group reclassified receivables and deferred income. Data as of December 31, 2011 have been restated.</t>
    </r>
  </si>
  <si>
    <r>
      <rPr>
        <vertAlign val="superscript"/>
        <sz val="9"/>
        <color indexed="8"/>
        <rFont val="Calibri"/>
        <family val="2"/>
        <charset val="238"/>
      </rPr>
      <t>3)</t>
    </r>
    <r>
      <rPr>
        <sz val="9"/>
        <color indexed="8"/>
        <rFont val="Calibri"/>
        <family val="2"/>
        <charset val="238"/>
      </rPr>
      <t xml:space="preserve"> Change in presentation from June 30, 2012. Data as of December 31, 2011 have been restated.</t>
    </r>
  </si>
  <si>
    <t>4) Restatement due to final purchase price allocation of Metelem</t>
  </si>
  <si>
    <t>5) From June 30, 2015 the item "Deposits for equipment" is accounted for in the item "Trade and other payables"</t>
  </si>
  <si>
    <t>CONSOLIDATED BALANCE SHEET
in millions of PLN</t>
  </si>
  <si>
    <t>1) As of f June 30, 2012, the Group changed its consolidated balance sheet presentation by reclassifying part of Other current assets to Other non-current assets . The Group also reclassified and presented Non-current deferred distribution fees and Current deferred distribution fees separately from Other non-current assets and Other current assets, respectively. Data as of December 31, 2011 have been restated.</t>
  </si>
  <si>
    <t>Net profit/(loss)</t>
  </si>
  <si>
    <t>Adjustments for:</t>
  </si>
  <si>
    <t>Depreciation/amortization</t>
  </si>
  <si>
    <t>Payments for film licenses and sports rights</t>
  </si>
  <si>
    <t>Amortization of film licenses and sports rights</t>
  </si>
  <si>
    <t>Loss on disposal of subsidiary</t>
  </si>
  <si>
    <t>(Gain)/loss on the sale of property, plant and equipment and intangible assets</t>
  </si>
  <si>
    <t>Cost of programming rights sold</t>
  </si>
  <si>
    <t>Interest expense</t>
  </si>
  <si>
    <t>Change in inventories</t>
  </si>
  <si>
    <t>Change in receivables and other assets</t>
  </si>
  <si>
    <t>Change in liabilities, provisions and deferred income</t>
  </si>
  <si>
    <t>Change in internal production and advance payments</t>
  </si>
  <si>
    <t>Valuation of hedging instruments</t>
  </si>
  <si>
    <t>Foreign exchange losses/(gains), net</t>
  </si>
  <si>
    <t>Compensation of income tax receivables with VAT liabilities</t>
  </si>
  <si>
    <t>Net additions of reception equipment provided under operating lease</t>
  </si>
  <si>
    <t>Other adjustments</t>
  </si>
  <si>
    <t>Cash from/(used in) operating activities</t>
  </si>
  <si>
    <t>Income tax paid</t>
  </si>
  <si>
    <t>Interest received from operating activities</t>
  </si>
  <si>
    <t>Net cash from/(used in) operating activities</t>
  </si>
  <si>
    <t>Acquisition of property, plant and equipment</t>
  </si>
  <si>
    <t>Acquisition of intangible assets</t>
  </si>
  <si>
    <t>Concession payments</t>
  </si>
  <si>
    <t>Acquisition of investment property</t>
  </si>
  <si>
    <t>Acquisition of financial assets</t>
  </si>
  <si>
    <t>Acquisition of subsidiaries, net of cash acquired</t>
  </si>
  <si>
    <t>Proceeds from sale of shares in subsidiaries</t>
  </si>
  <si>
    <t>Proceeds from sale of financial assets</t>
  </si>
  <si>
    <t>Proceeds from sale of property, plant and equipment</t>
  </si>
  <si>
    <t>Acquisition of bonds</t>
  </si>
  <si>
    <t>Prepayment for shares</t>
  </si>
  <si>
    <t>Granted loans</t>
  </si>
  <si>
    <t>Repayment of loans granted</t>
  </si>
  <si>
    <t>Proceeds from interest on loans granted</t>
  </si>
  <si>
    <t>Other investing activities - derivatives</t>
  </si>
  <si>
    <t>Dividends received</t>
  </si>
  <si>
    <t>Net cash from/(used in) investing activities</t>
  </si>
  <si>
    <t>Proceeds from capital increase</t>
  </si>
  <si>
    <t>Settlement of IPO related costs</t>
  </si>
  <si>
    <t>Loans and  borrowings inflows</t>
  </si>
  <si>
    <t>Bonds (redemption)/issue</t>
  </si>
  <si>
    <t>Repayment of loans and borrowings</t>
  </si>
  <si>
    <r>
      <t>Payment of interest on loans, borrowings, bonds, finance lease and commissions</t>
    </r>
    <r>
      <rPr>
        <vertAlign val="superscript"/>
        <sz val="9"/>
        <color indexed="8"/>
        <rFont val="Calibri"/>
        <family val="2"/>
        <charset val="238"/>
      </rPr>
      <t>2)</t>
    </r>
  </si>
  <si>
    <t>Early redemption fee</t>
  </si>
  <si>
    <t>Dividends paid</t>
  </si>
  <si>
    <t>Net cash from bank overdraft</t>
  </si>
  <si>
    <t>Purchases of foreign exchange call options</t>
  </si>
  <si>
    <t>Proceeds from realization of foreign exchange call options</t>
  </si>
  <si>
    <t>Hedging instrument effect – principal</t>
  </si>
  <si>
    <t>Finance lease - principal repayments</t>
  </si>
  <si>
    <t>Payment of share issuance-related consulting costs</t>
  </si>
  <si>
    <t>Net cash from/ (used in) financing activities</t>
  </si>
  <si>
    <t>Net increase/(decrease) in cash and cash equivalents</t>
  </si>
  <si>
    <t>Cash and cash equivalents at the beginning of the period</t>
  </si>
  <si>
    <t>Effect of exchange rate fluctuations on cash and cash equivalents</t>
  </si>
  <si>
    <t>Cash and cash equivalents at the end of the period</t>
  </si>
  <si>
    <t>1) Item included in "Other adjustments"</t>
  </si>
  <si>
    <t>2) Includes impact of hedging instruments, premiums paid for early bonds’ repayment and amount paid for costs related to the new financing.</t>
  </si>
  <si>
    <t>CONSOLIDATED CASH FLOW STATEMENT</t>
  </si>
  <si>
    <t>SKONSOLIDOWANY RACHUNEK PRZEPŁYWÓW PIENIĘŻNYCH</t>
  </si>
  <si>
    <t>31 grudnia 2016 r.</t>
  </si>
  <si>
    <t>WSKAŹNIKI FINANSOWE</t>
  </si>
  <si>
    <r>
      <t>Marża EBITDA</t>
    </r>
    <r>
      <rPr>
        <vertAlign val="superscript"/>
        <sz val="10"/>
        <color indexed="8"/>
        <rFont val="Calibri"/>
        <family val="2"/>
        <charset val="238"/>
      </rPr>
      <t xml:space="preserve"> 1)</t>
    </r>
  </si>
  <si>
    <r>
      <t>Marża zysku netto</t>
    </r>
    <r>
      <rPr>
        <vertAlign val="superscript"/>
        <sz val="10"/>
        <color indexed="8"/>
        <rFont val="Calibri"/>
        <family val="2"/>
        <charset val="238"/>
      </rPr>
      <t xml:space="preserve"> 2)</t>
    </r>
  </si>
  <si>
    <r>
      <t xml:space="preserve">Wskaźnik rentowności aktywów (ROA) </t>
    </r>
    <r>
      <rPr>
        <vertAlign val="superscript"/>
        <sz val="10"/>
        <color indexed="8"/>
        <rFont val="Calibri"/>
        <family val="2"/>
        <charset val="238"/>
      </rPr>
      <t>3)</t>
    </r>
  </si>
  <si>
    <r>
      <t>Wskaźnik rentowności kapitału własnego (ROE)</t>
    </r>
    <r>
      <rPr>
        <vertAlign val="superscript"/>
        <sz val="10"/>
        <color indexed="8"/>
        <rFont val="Calibri"/>
        <family val="2"/>
        <charset val="238"/>
      </rPr>
      <t xml:space="preserve"> 4)</t>
    </r>
  </si>
  <si>
    <r>
      <t xml:space="preserve">Wskaźnik płynności bieżącej (current ratio) </t>
    </r>
    <r>
      <rPr>
        <vertAlign val="superscript"/>
        <sz val="10"/>
        <color indexed="8"/>
        <rFont val="Calibri"/>
        <family val="2"/>
        <charset val="238"/>
      </rPr>
      <t>5)</t>
    </r>
  </si>
  <si>
    <r>
      <t xml:space="preserve">Wskaźnik ogólnego zadłużenia </t>
    </r>
    <r>
      <rPr>
        <vertAlign val="superscript"/>
        <sz val="10"/>
        <color indexed="8"/>
        <rFont val="Calibri"/>
        <family val="2"/>
        <charset val="238"/>
      </rPr>
      <t>6)</t>
    </r>
  </si>
  <si>
    <t>31 December 2004</t>
  </si>
  <si>
    <t xml:space="preserve">31 December 2005 </t>
  </si>
  <si>
    <t>31 December 2006</t>
  </si>
  <si>
    <t xml:space="preserve"> 31 December 2007</t>
  </si>
  <si>
    <t>30 June 2008</t>
  </si>
  <si>
    <t xml:space="preserve"> 31 December 2008</t>
  </si>
  <si>
    <t>30 June 2009</t>
  </si>
  <si>
    <t>31 December 2009</t>
  </si>
  <si>
    <t>30 June 2010</t>
  </si>
  <si>
    <t>30 September 2010</t>
  </si>
  <si>
    <t>31 December 2010</t>
  </si>
  <si>
    <t>30 June 2011</t>
  </si>
  <si>
    <t>30 September 2011</t>
  </si>
  <si>
    <t>31 December 2011
restated</t>
  </si>
  <si>
    <t>31 March 2012</t>
  </si>
  <si>
    <t>30 June 2012</t>
  </si>
  <si>
    <t>30 September 2012</t>
  </si>
  <si>
    <t>31 December 2012</t>
  </si>
  <si>
    <t>31 March 2013</t>
  </si>
  <si>
    <t>30 June 2013</t>
  </si>
  <si>
    <t>30 September 2013</t>
  </si>
  <si>
    <t>31 December 2013</t>
  </si>
  <si>
    <t>31 March 2014</t>
  </si>
  <si>
    <t>30 June 2014</t>
  </si>
  <si>
    <t>30 September 2014</t>
  </si>
  <si>
    <r>
      <t xml:space="preserve">31 December 2014 restated </t>
    </r>
    <r>
      <rPr>
        <b/>
        <vertAlign val="superscript"/>
        <sz val="10"/>
        <color indexed="8"/>
        <rFont val="Calibri"/>
        <family val="2"/>
        <charset val="238"/>
      </rPr>
      <t>4)</t>
    </r>
  </si>
  <si>
    <t>31 March 2015</t>
  </si>
  <si>
    <t>30 June 2015</t>
  </si>
  <si>
    <t>30 September 2015</t>
  </si>
  <si>
    <t>31 December 2015</t>
  </si>
  <si>
    <t>31 March 2016</t>
  </si>
  <si>
    <t>30 June 2016</t>
  </si>
  <si>
    <t xml:space="preserve">30 September 2016 </t>
  </si>
  <si>
    <t>31 December 2016</t>
  </si>
  <si>
    <t>12 months ended</t>
  </si>
  <si>
    <t>6 months ended</t>
  </si>
  <si>
    <t>9 months ended</t>
  </si>
  <si>
    <t>3 months ended</t>
  </si>
  <si>
    <t>3 moths ended</t>
  </si>
  <si>
    <t>31 December 2005</t>
  </si>
  <si>
    <t xml:space="preserve"> 31 December 2007 </t>
  </si>
  <si>
    <t xml:space="preserve">30 June 2008 </t>
  </si>
  <si>
    <t xml:space="preserve"> 31 December 2008 </t>
  </si>
  <si>
    <t xml:space="preserve">30 June 2009 </t>
  </si>
  <si>
    <t xml:space="preserve"> 31 December 2009 </t>
  </si>
  <si>
    <t xml:space="preserve">30 June 2010 </t>
  </si>
  <si>
    <t xml:space="preserve">30 September 2010 </t>
  </si>
  <si>
    <t>31 March 2011</t>
  </si>
  <si>
    <t>31 December 2011</t>
  </si>
  <si>
    <t>31 December 2014</t>
  </si>
  <si>
    <t>30 September 2016</t>
  </si>
  <si>
    <t>Zysk/(strata) netto przypadający na akcjonariuszy niekontrolujących</t>
  </si>
  <si>
    <t>Strata/(zysk) na instrumentach pochodnych, netto</t>
  </si>
  <si>
    <t>Other outflows</t>
  </si>
  <si>
    <t>3) "Finance lease - principale repayments" included in the item "Other outflows"</t>
  </si>
  <si>
    <t>Cumulative catch-up and early redemption costs</t>
  </si>
  <si>
    <t>Jednorazowe spisanie przeszacowania wartości obligacji na moment nabycia do wartości godziwej oraz koszt premii za wcześniejszy wykup obligacji</t>
  </si>
  <si>
    <t>31 March 2017</t>
  </si>
  <si>
    <t>31 marca 2017 r.</t>
  </si>
  <si>
    <t>Retained earnings/(losses)</t>
  </si>
  <si>
    <t>2) Obejmuje wpływ instrumentów IRS/CIRS/forward, premie za wcześniejszą spłatę obligacji oraz zapłatę za koszty związane z pozyskaniem finansowania</t>
  </si>
  <si>
    <t>30 June 2017</t>
  </si>
  <si>
    <t>30 czerwca 2017 r.</t>
  </si>
  <si>
    <t>30 września 2017 r.</t>
  </si>
  <si>
    <t>30 September 2017</t>
  </si>
  <si>
    <t>Net (gain)/loss on derivatives</t>
  </si>
  <si>
    <t>Other inflows/(outflows)</t>
  </si>
  <si>
    <t>4) Item included in "Other inflows/(outflows)".</t>
  </si>
  <si>
    <t>Pozostałe wpływy/(wypływy)</t>
  </si>
  <si>
    <t>4) Pozycja połączona z pozycją "Pozostałe wpływy/(wypływy)".</t>
  </si>
  <si>
    <t>includes shares in associates accounted for using the equity method</t>
  </si>
  <si>
    <t>w tym udziały w jednostkach stowarzyszonych wycenianych metodą praw własności</t>
  </si>
  <si>
    <r>
      <t>Share of the profit of jointly controlled entity</t>
    </r>
    <r>
      <rPr>
        <sz val="10"/>
        <color theme="1"/>
        <rFont val="Calibri"/>
        <family val="2"/>
        <charset val="238"/>
        <scheme val="minor"/>
      </rPr>
      <t xml:space="preserve"> accounted for using the equity method</t>
    </r>
  </si>
  <si>
    <r>
      <t>Udział w zysku jednostki współkontrolowanej</t>
    </r>
    <r>
      <rPr>
        <sz val="10"/>
        <color indexed="8"/>
        <rFont val="Calibri"/>
        <family val="2"/>
        <charset val="238"/>
      </rPr>
      <t xml:space="preserve"> wycenianej metodą praw własności</t>
    </r>
  </si>
  <si>
    <t>Share of the profit of associates accounted for using the equity method</t>
  </si>
  <si>
    <t>Udział w zysku jednostek stowarzyszonych wycenianych metodą praw własności</t>
  </si>
  <si>
    <r>
      <t>Share of the profit of a joint venture</t>
    </r>
    <r>
      <rPr>
        <sz val="9"/>
        <color indexed="8"/>
        <rFont val="Calibri"/>
        <family val="2"/>
        <charset val="238"/>
      </rPr>
      <t xml:space="preserve"> accounted for using the equity method</t>
    </r>
  </si>
  <si>
    <t>Acquisition of bonds issued by Midas</t>
  </si>
  <si>
    <t>Wykup obligacji wyemitowanych przez Midas</t>
  </si>
  <si>
    <t>Koszt premii za wcześniejszy wykup obligacji</t>
  </si>
  <si>
    <t>Early redemption costs</t>
  </si>
  <si>
    <t>YTD 2018</t>
  </si>
  <si>
    <r>
      <t xml:space="preserve">2) Dane zgodne ze standardem MSR 18 - nie uwwzględniają wpływu standardów MSSF 9 </t>
    </r>
    <r>
      <rPr>
        <i/>
        <sz val="10"/>
        <color indexed="8"/>
        <rFont val="Calibri"/>
        <family val="2"/>
        <charset val="238"/>
      </rPr>
      <t>Instrumenty Finansowe</t>
    </r>
    <r>
      <rPr>
        <sz val="10"/>
        <color indexed="8"/>
        <rFont val="Calibri"/>
        <family val="2"/>
        <charset val="238"/>
      </rPr>
      <t xml:space="preserve"> oraz MSSF 15 </t>
    </r>
    <r>
      <rPr>
        <i/>
        <sz val="10"/>
        <color indexed="8"/>
        <rFont val="Calibri"/>
        <family val="2"/>
        <charset val="238"/>
      </rPr>
      <t>Przychody z umów z klientami</t>
    </r>
    <r>
      <rPr>
        <sz val="10"/>
        <color indexed="8"/>
        <rFont val="Calibri"/>
        <family val="2"/>
        <charset val="238"/>
      </rPr>
      <t xml:space="preserve">, obowiązujących od 1 stycznia 2018 roku. </t>
    </r>
  </si>
  <si>
    <r>
      <t xml:space="preserve">3) Dane zgodne ze standardami MSSF 9 </t>
    </r>
    <r>
      <rPr>
        <i/>
        <sz val="10"/>
        <color indexed="8"/>
        <rFont val="Calibri"/>
        <family val="2"/>
        <charset val="238"/>
      </rPr>
      <t>Instrumenty Finansowe</t>
    </r>
    <r>
      <rPr>
        <sz val="10"/>
        <color indexed="8"/>
        <rFont val="Calibri"/>
        <family val="2"/>
        <charset val="238"/>
      </rPr>
      <t xml:space="preserve"> oraz MSSF 15 </t>
    </r>
    <r>
      <rPr>
        <i/>
        <sz val="10"/>
        <color indexed="8"/>
        <rFont val="Calibri"/>
        <family val="2"/>
        <charset val="238"/>
      </rPr>
      <t xml:space="preserve">Przychody z umów z klientami. </t>
    </r>
    <r>
      <rPr>
        <sz val="10"/>
        <color indexed="8"/>
        <rFont val="Calibri"/>
        <family val="2"/>
        <charset val="238"/>
      </rPr>
      <t xml:space="preserve">Dane nie sa porównywalne z danymi za okresy wcześniejsze. </t>
    </r>
  </si>
  <si>
    <t xml:space="preserve">2) Data presented in accordance with IAS 18 standard - they do not include the impact of the standards IFRS 9 Financial Instruments and IFRS 15 Revenue from Contracts with Customers, applicable from January 1, 2018.  </t>
  </si>
  <si>
    <t xml:space="preserve">3) Data presented in accordance with standards IFRS 9 Financial Instruments and IFRS 15 Revenue from Contracts with Customers. Data is not comparable to data for previous periods. </t>
  </si>
  <si>
    <t>30 June 2018</t>
  </si>
  <si>
    <t>30 czerwca 2018 r.</t>
  </si>
  <si>
    <t>30 September 2018</t>
  </si>
  <si>
    <t>30 września 2018 r.</t>
  </si>
  <si>
    <t>31 December 2018</t>
  </si>
  <si>
    <t>31 grudnia 2018 r.</t>
  </si>
  <si>
    <t>Contract assets</t>
  </si>
  <si>
    <t>Aktywa z tytułu kontraktów</t>
  </si>
  <si>
    <t>Contract liabilities</t>
  </si>
  <si>
    <t>Zobowiązania z tytułu kontraktów</t>
  </si>
  <si>
    <t>Change in contract assets</t>
  </si>
  <si>
    <t>Zmiana stanu aktywów z tytułu kontraktów</t>
  </si>
  <si>
    <t>Change in contract liabilities</t>
  </si>
  <si>
    <t>Zmiana stanu zobowiązania z tytułu kontraktów</t>
  </si>
  <si>
    <t>Acquisition of shares in associates and other entities</t>
  </si>
  <si>
    <t>Investment funds outflows</t>
  </si>
  <si>
    <t>Nabycie akcji/udziałów w jednostkach stowarzyszonych i innych jednostkach</t>
  </si>
  <si>
    <t>Wypływy z tytułu inwestycji w fundusze</t>
  </si>
  <si>
    <r>
      <t>2018</t>
    </r>
    <r>
      <rPr>
        <b/>
        <vertAlign val="superscript"/>
        <sz val="11"/>
        <color theme="1"/>
        <rFont val="Calibri"/>
        <family val="2"/>
        <charset val="238"/>
      </rPr>
      <t>2)</t>
    </r>
    <r>
      <rPr>
        <b/>
        <sz val="11"/>
        <color theme="1"/>
        <rFont val="Calibri"/>
        <family val="2"/>
        <charset val="238"/>
      </rPr>
      <t xml:space="preserve"> </t>
    </r>
    <r>
      <rPr>
        <i/>
        <sz val="11"/>
        <color theme="1"/>
        <rFont val="Calibri"/>
        <family val="2"/>
        <charset val="238"/>
      </rPr>
      <t>(IAS 18 basis)</t>
    </r>
  </si>
  <si>
    <r>
      <t>2018</t>
    </r>
    <r>
      <rPr>
        <b/>
        <vertAlign val="superscript"/>
        <sz val="11"/>
        <color theme="1"/>
        <rFont val="Calibri"/>
        <family val="2"/>
        <charset val="238"/>
      </rPr>
      <t>2)</t>
    </r>
    <r>
      <rPr>
        <b/>
        <sz val="11"/>
        <color theme="1"/>
        <rFont val="Calibri"/>
        <family val="2"/>
        <charset val="238"/>
      </rPr>
      <t xml:space="preserve"> </t>
    </r>
    <r>
      <rPr>
        <i/>
        <sz val="11"/>
        <color theme="1"/>
        <rFont val="Calibri"/>
        <family val="2"/>
        <charset val="238"/>
      </rPr>
      <t>(dane według MSR 18)</t>
    </r>
  </si>
  <si>
    <r>
      <t xml:space="preserve">31 December 2017 </t>
    </r>
    <r>
      <rPr>
        <i/>
        <sz val="10"/>
        <color indexed="8"/>
        <rFont val="Calibri"/>
        <family val="2"/>
        <charset val="238"/>
      </rPr>
      <t>(IAS 18 basis)</t>
    </r>
  </si>
  <si>
    <r>
      <t xml:space="preserve">31 March 2018 </t>
    </r>
    <r>
      <rPr>
        <i/>
        <sz val="10"/>
        <color indexed="8"/>
        <rFont val="Calibri"/>
        <family val="2"/>
        <charset val="238"/>
      </rPr>
      <t>(IFRS 15 basis)</t>
    </r>
  </si>
  <si>
    <r>
      <t xml:space="preserve">31 grudnia 2017 r. </t>
    </r>
    <r>
      <rPr>
        <i/>
        <sz val="10"/>
        <color indexed="8"/>
        <rFont val="Calibri"/>
        <family val="2"/>
        <charset val="238"/>
      </rPr>
      <t>(dane wedlug             MSR 18)</t>
    </r>
  </si>
  <si>
    <r>
      <t xml:space="preserve">31 March 2017 </t>
    </r>
    <r>
      <rPr>
        <i/>
        <sz val="10"/>
        <color indexed="8"/>
        <rFont val="Calibri"/>
        <family val="2"/>
        <charset val="238"/>
      </rPr>
      <t>(IAS 18 basis)</t>
    </r>
  </si>
  <si>
    <r>
      <t xml:space="preserve">30 June 2017            </t>
    </r>
    <r>
      <rPr>
        <i/>
        <sz val="10"/>
        <color indexed="8"/>
        <rFont val="Calibri"/>
        <family val="2"/>
        <charset val="238"/>
      </rPr>
      <t>(IAS 18 basis)</t>
    </r>
  </si>
  <si>
    <r>
      <t xml:space="preserve">30 September 2017                               </t>
    </r>
    <r>
      <rPr>
        <i/>
        <sz val="10"/>
        <color indexed="8"/>
        <rFont val="Calibri"/>
        <family val="2"/>
        <charset val="238"/>
      </rPr>
      <t>(IAS 18 basis)</t>
    </r>
  </si>
  <si>
    <r>
      <t>31 December 2017</t>
    </r>
    <r>
      <rPr>
        <sz val="10"/>
        <color indexed="8"/>
        <rFont val="Calibri"/>
        <family val="2"/>
        <charset val="238"/>
      </rPr>
      <t xml:space="preserve"> </t>
    </r>
    <r>
      <rPr>
        <i/>
        <sz val="10"/>
        <color indexed="8"/>
        <rFont val="Calibri"/>
        <family val="2"/>
        <charset val="238"/>
      </rPr>
      <t>(IAS 18 basis)</t>
    </r>
  </si>
  <si>
    <r>
      <t xml:space="preserve">31 marca 2017 r. </t>
    </r>
    <r>
      <rPr>
        <i/>
        <sz val="10"/>
        <color indexed="8"/>
        <rFont val="Calibri"/>
        <family val="2"/>
        <charset val="238"/>
      </rPr>
      <t>(dane według               MSR 18)</t>
    </r>
  </si>
  <si>
    <r>
      <t xml:space="preserve">30 czerwca 2017 r. </t>
    </r>
    <r>
      <rPr>
        <i/>
        <sz val="10"/>
        <color indexed="8"/>
        <rFont val="Calibri"/>
        <family val="2"/>
        <charset val="238"/>
      </rPr>
      <t>(dane według            MSR 18)</t>
    </r>
  </si>
  <si>
    <r>
      <t xml:space="preserve">30 września 2017 r. </t>
    </r>
    <r>
      <rPr>
        <i/>
        <sz val="10"/>
        <color indexed="8"/>
        <rFont val="Calibri"/>
        <family val="2"/>
        <charset val="238"/>
      </rPr>
      <t>(dane według           MSR 18)</t>
    </r>
  </si>
  <si>
    <r>
      <t xml:space="preserve">31 grudnia 2017 r. </t>
    </r>
    <r>
      <rPr>
        <i/>
        <sz val="10"/>
        <color indexed="8"/>
        <rFont val="Calibri"/>
        <family val="2"/>
        <charset val="238"/>
      </rPr>
      <t>(dane według             MSR 18)</t>
    </r>
  </si>
  <si>
    <r>
      <t xml:space="preserve">Q1'17
</t>
    </r>
    <r>
      <rPr>
        <i/>
        <sz val="10"/>
        <color indexed="8"/>
        <rFont val="Calibri"/>
        <family val="2"/>
        <charset val="238"/>
      </rPr>
      <t>(dane wg MSR 18)</t>
    </r>
  </si>
  <si>
    <r>
      <t xml:space="preserve">Q2'17
</t>
    </r>
    <r>
      <rPr>
        <i/>
        <sz val="10"/>
        <color indexed="8"/>
        <rFont val="Calibri"/>
        <family val="2"/>
        <charset val="238"/>
      </rPr>
      <t>(dane wg MSR 18)</t>
    </r>
  </si>
  <si>
    <r>
      <t xml:space="preserve">Q3'17
</t>
    </r>
    <r>
      <rPr>
        <i/>
        <sz val="10"/>
        <color indexed="8"/>
        <rFont val="Calibri"/>
        <family val="2"/>
        <charset val="238"/>
      </rPr>
      <t>(dane wg MSR 18)</t>
    </r>
  </si>
  <si>
    <r>
      <t xml:space="preserve">Q4'17
</t>
    </r>
    <r>
      <rPr>
        <i/>
        <sz val="10"/>
        <color indexed="8"/>
        <rFont val="Calibri"/>
        <family val="2"/>
        <charset val="238"/>
      </rPr>
      <t>(dane wg MSR 18)</t>
    </r>
  </si>
  <si>
    <r>
      <t xml:space="preserve">2017
</t>
    </r>
    <r>
      <rPr>
        <i/>
        <sz val="10"/>
        <color indexed="8"/>
        <rFont val="Calibri"/>
        <family val="2"/>
        <charset val="238"/>
      </rPr>
      <t>(dane wg MSR 18)</t>
    </r>
  </si>
  <si>
    <r>
      <t xml:space="preserve">Q1'18
</t>
    </r>
    <r>
      <rPr>
        <i/>
        <sz val="10"/>
        <color indexed="8"/>
        <rFont val="Calibri"/>
        <family val="2"/>
        <charset val="238"/>
      </rPr>
      <t>(dane wg MSSF 15)</t>
    </r>
  </si>
  <si>
    <r>
      <t xml:space="preserve">30 June 2018            </t>
    </r>
    <r>
      <rPr>
        <i/>
        <sz val="10"/>
        <color indexed="8"/>
        <rFont val="Calibri"/>
        <family val="2"/>
        <charset val="238"/>
      </rPr>
      <t>(IFRS 15 basis)</t>
    </r>
  </si>
  <si>
    <r>
      <t xml:space="preserve">30 September 2018                               </t>
    </r>
    <r>
      <rPr>
        <i/>
        <sz val="10"/>
        <color indexed="8"/>
        <rFont val="Calibri"/>
        <family val="2"/>
        <charset val="238"/>
      </rPr>
      <t>(IFRS 15 basis)</t>
    </r>
  </si>
  <si>
    <r>
      <t>31 December 2018</t>
    </r>
    <r>
      <rPr>
        <sz val="10"/>
        <color indexed="8"/>
        <rFont val="Calibri"/>
        <family val="2"/>
        <charset val="238"/>
      </rPr>
      <t xml:space="preserve"> </t>
    </r>
    <r>
      <rPr>
        <i/>
        <sz val="10"/>
        <color indexed="8"/>
        <rFont val="Calibri"/>
        <family val="2"/>
        <charset val="238"/>
      </rPr>
      <t>(IFRS 15 basis)</t>
    </r>
  </si>
  <si>
    <r>
      <t xml:space="preserve">31 grudnia 2018 r. </t>
    </r>
    <r>
      <rPr>
        <i/>
        <sz val="10"/>
        <color indexed="8"/>
        <rFont val="Calibri"/>
        <family val="2"/>
        <charset val="238"/>
      </rPr>
      <t>(dane według             MSSF 15)</t>
    </r>
  </si>
  <si>
    <r>
      <t>2018</t>
    </r>
    <r>
      <rPr>
        <b/>
        <vertAlign val="superscript"/>
        <sz val="11"/>
        <color theme="1"/>
        <rFont val="Calibri"/>
        <family val="2"/>
        <charset val="238"/>
      </rPr>
      <t>2)</t>
    </r>
    <r>
      <rPr>
        <b/>
        <sz val="11"/>
        <color theme="1"/>
        <rFont val="Calibri"/>
        <family val="2"/>
        <charset val="238"/>
      </rPr>
      <t xml:space="preserve"> </t>
    </r>
    <r>
      <rPr>
        <i/>
        <sz val="11"/>
        <color theme="1"/>
        <rFont val="Calibri"/>
        <family val="2"/>
        <charset val="238"/>
      </rPr>
      <t>(dane według MSSF 15)</t>
    </r>
  </si>
  <si>
    <r>
      <t>2018</t>
    </r>
    <r>
      <rPr>
        <b/>
        <vertAlign val="superscript"/>
        <sz val="11"/>
        <color theme="1"/>
        <rFont val="Calibri"/>
        <family val="2"/>
        <charset val="238"/>
      </rPr>
      <t>2)</t>
    </r>
    <r>
      <rPr>
        <b/>
        <sz val="11"/>
        <color theme="1"/>
        <rFont val="Calibri"/>
        <family val="2"/>
        <charset val="238"/>
      </rPr>
      <t xml:space="preserve"> </t>
    </r>
    <r>
      <rPr>
        <i/>
        <sz val="11"/>
        <color theme="1"/>
        <rFont val="Calibri"/>
        <family val="2"/>
        <charset val="238"/>
      </rPr>
      <t>(IFRS 15 basis)</t>
    </r>
  </si>
  <si>
    <r>
      <t xml:space="preserve">31 marca 2018 r. </t>
    </r>
    <r>
      <rPr>
        <i/>
        <sz val="10"/>
        <color indexed="8"/>
        <rFont val="Calibri"/>
        <family val="2"/>
        <charset val="238"/>
      </rPr>
      <t>(dane według MSSF 15)</t>
    </r>
  </si>
  <si>
    <r>
      <t xml:space="preserve">31 marca 2018 r. </t>
    </r>
    <r>
      <rPr>
        <i/>
        <sz val="10"/>
        <color indexed="8"/>
        <rFont val="Calibri"/>
        <family val="2"/>
        <charset val="238"/>
      </rPr>
      <t>(dane według           MSSF 15)</t>
    </r>
  </si>
  <si>
    <r>
      <t xml:space="preserve">31 czerwca 2018 r. </t>
    </r>
    <r>
      <rPr>
        <i/>
        <sz val="10"/>
        <color indexed="8"/>
        <rFont val="Calibri"/>
        <family val="2"/>
        <charset val="238"/>
      </rPr>
      <t>(dane według           MSSF 15)</t>
    </r>
  </si>
  <si>
    <r>
      <t xml:space="preserve">31 września 2018 r. </t>
    </r>
    <r>
      <rPr>
        <i/>
        <sz val="10"/>
        <color indexed="8"/>
        <rFont val="Calibri"/>
        <family val="2"/>
        <charset val="238"/>
      </rPr>
      <t>(dane według           MSSF 15)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</si>
</sst>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164" formatCode="_(* #,##0_);_(* \(#,##0\);_(* &quot;-&quot;_);_(@_)"/>
    <numFmt numFmtId="165" formatCode="_(* #,##0.00_);_(* \(#,##0.00\);_(* &quot;-&quot;??_);_(@_)"/>
    <numFmt numFmtId="166" formatCode="#,##0.000"/>
    <numFmt numFmtId="167" formatCode="0.0"/>
    <numFmt numFmtId="168" formatCode="0.000"/>
    <numFmt numFmtId="169" formatCode="#,##0.000\ ;\(#,##0.000\)"/>
    <numFmt numFmtId="170" formatCode="0.0%"/>
    <numFmt numFmtId="171" formatCode="#\.##0"/>
    <numFmt numFmtId="172" formatCode="#\.###\.##0"/>
    <numFmt numFmtId="173" formatCode="#,##0.0"/>
    <numFmt numFmtId="174" formatCode="#,##0.0;\-#,##0.0"/>
    <numFmt numFmtId="175" formatCode="#,##0.0\ ;\(#,##0\)"/>
    <numFmt numFmtId="176" formatCode="_(* #,##0.0_);_(* \(#,##0.0\);_(* &quot;-&quot;_);_(@_)"/>
    <numFmt numFmtId="177" formatCode="_(* #,##0.000_);_(* \(#,##0.000\);_(* &quot;-&quot;??_);_(@_)"/>
    <numFmt numFmtId="178" formatCode="#,##0.0\ ;\(#,##0.0\)"/>
    <numFmt numFmtId="179" formatCode="\-"/>
    <numFmt numFmtId="180" formatCode="###0.000"/>
    <numFmt numFmtId="181" formatCode="#,##0.000;\(#,##0.000\)"/>
    <numFmt numFmtId="182" formatCode="#,##0\ ;\(#,##0\)"/>
    <numFmt numFmtId="183" formatCode="###0.0"/>
    <numFmt numFmtId="184" formatCode="###0.0;\(###0.0\)"/>
    <numFmt numFmtId="185" formatCode="#,##0.0;\(#,##0.0\)"/>
    <numFmt numFmtId="186" formatCode="##\.##0.0;\(##\.##0.0\)"/>
    <numFmt numFmtId="187" formatCode="#,##0.0;\(#,##0.0\);\-"/>
    <numFmt numFmtId="188" formatCode="#,##0.000;\(#,##0.000\);\-"/>
    <numFmt numFmtId="189" formatCode="#,##0.00;\(#,##0.00\)"/>
    <numFmt numFmtId="190" formatCode="#,##0.0_ ;\-#,##0.0\ "/>
    <numFmt numFmtId="191" formatCode="#,##0.0\ ;\(#,##0.0\);\-"/>
  </numFmts>
  <fonts count="5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9"/>
      <name val="Calibri"/>
      <family val="2"/>
      <charset val="238"/>
    </font>
    <font>
      <sz val="10"/>
      <color indexed="8"/>
      <name val="Arial Narrow"/>
      <family val="2"/>
      <charset val="238"/>
    </font>
    <font>
      <sz val="8"/>
      <name val="Czcionka tekstu podstawowego"/>
      <family val="2"/>
      <charset val="238"/>
    </font>
    <font>
      <vertAlign val="superscript"/>
      <sz val="9"/>
      <color indexed="8"/>
      <name val="Calibri"/>
      <family val="2"/>
      <charset val="238"/>
    </font>
    <font>
      <i/>
      <sz val="9"/>
      <color indexed="8"/>
      <name val="Calibri"/>
      <family val="2"/>
      <charset val="238"/>
    </font>
    <font>
      <i/>
      <vertAlign val="superscript"/>
      <sz val="9"/>
      <color indexed="8"/>
      <name val="Calibri"/>
      <family val="2"/>
      <charset val="238"/>
    </font>
    <font>
      <b/>
      <sz val="12"/>
      <color theme="9"/>
      <name val="Calibri"/>
      <family val="2"/>
      <charset val="238"/>
    </font>
    <font>
      <vertAlign val="superscript"/>
      <sz val="11"/>
      <color indexed="8"/>
      <name val="Calibri"/>
      <family val="2"/>
      <charset val="238"/>
    </font>
    <font>
      <b/>
      <vertAlign val="superscript"/>
      <sz val="9"/>
      <color indexed="8"/>
      <name val="Calibri"/>
      <family val="2"/>
      <charset val="238"/>
    </font>
    <font>
      <b/>
      <vertAlign val="superscript"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vertAlign val="superscript"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0"/>
      <color theme="9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vertAlign val="superscript"/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10"/>
      <color theme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name val="Calibri"/>
      <family val="2"/>
      <charset val="238"/>
    </font>
    <font>
      <vertAlign val="superscript"/>
      <sz val="10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</font>
    <font>
      <i/>
      <sz val="10"/>
      <color indexed="8"/>
      <name val="Calibri"/>
      <family val="2"/>
      <charset val="238"/>
    </font>
    <font>
      <i/>
      <sz val="10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0"/>
      <color rgb="FF000000"/>
      <name val="Arial Narrow"/>
      <family val="2"/>
      <charset val="238"/>
    </font>
    <font>
      <b/>
      <sz val="9"/>
      <name val="Calibri"/>
      <family val="2"/>
      <charset val="238"/>
    </font>
    <font>
      <sz val="9"/>
      <color rgb="FF000000"/>
      <name val="Arial Narrow"/>
      <family val="2"/>
      <charset val="238"/>
    </font>
    <font>
      <b/>
      <vertAlign val="superscript"/>
      <sz val="11"/>
      <color theme="1"/>
      <name val="Calibri"/>
      <family val="2"/>
      <charset val="238"/>
    </font>
    <font>
      <sz val="10"/>
      <color theme="1"/>
      <name val="Czcionka tekstu podstawowego"/>
      <family val="2"/>
      <charset val="238"/>
    </font>
    <font>
      <i/>
      <sz val="11"/>
      <color theme="1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theme="0" tint="-4.9989318521683403E-2"/>
        <bgColor theme="9"/>
      </patternFill>
    </fill>
    <fill>
      <patternFill patternType="solid">
        <fgColor theme="0"/>
        <bgColor indexed="64"/>
      </patternFill>
    </fill>
    <fill>
      <patternFill patternType="lightUp">
        <fgColor theme="0" tint="-0.24994659260841701"/>
        <bgColor indexed="65"/>
      </patternFill>
    </fill>
    <fill>
      <patternFill patternType="lightUp">
        <fgColor theme="0" tint="-0.24994659260841701"/>
        <bgColor theme="0" tint="-4.9989318521683403E-2"/>
      </patternFill>
    </fill>
    <fill>
      <patternFill patternType="solid">
        <fgColor rgb="FFF7A833"/>
        <bgColor indexed="64"/>
      </patternFill>
    </fill>
    <fill>
      <patternFill patternType="mediumGray">
        <fgColor rgb="FFF7A833"/>
      </patternFill>
    </fill>
    <fill>
      <patternFill patternType="mediumGray">
        <fgColor rgb="FFF7A833"/>
        <bgColor theme="0" tint="-4.9989318521683403E-2"/>
      </patternFill>
    </fill>
    <fill>
      <patternFill patternType="mediumGray">
        <fgColor theme="0" tint="-0.14996795556505021"/>
        <bgColor rgb="FFF7A833"/>
      </patternFill>
    </fill>
    <fill>
      <patternFill patternType="mediumGray">
        <fgColor theme="0" tint="-0.14996795556505021"/>
        <bgColor theme="0" tint="-4.9989318521683403E-2"/>
      </patternFill>
    </fill>
    <fill>
      <patternFill patternType="mediumGray">
        <fgColor theme="0" tint="-0.14996795556505021"/>
        <bgColor indexed="65"/>
      </patternFill>
    </fill>
    <fill>
      <patternFill patternType="solid">
        <fgColor rgb="FFF7A833"/>
        <bgColor rgb="FFF7A833"/>
      </patternFill>
    </fill>
    <fill>
      <patternFill patternType="mediumGray">
        <fgColor rgb="FFF7A833"/>
        <bgColor theme="0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78">
    <xf numFmtId="0" fontId="0" fillId="0" borderId="0" xfId="0"/>
    <xf numFmtId="0" fontId="9" fillId="0" borderId="0" xfId="0" applyFont="1"/>
    <xf numFmtId="0" fontId="10" fillId="0" borderId="0" xfId="0" applyFont="1"/>
    <xf numFmtId="0" fontId="12" fillId="0" borderId="0" xfId="0" applyFont="1"/>
    <xf numFmtId="0" fontId="10" fillId="0" borderId="0" xfId="0" applyFont="1" applyFill="1"/>
    <xf numFmtId="0" fontId="9" fillId="0" borderId="0" xfId="0" applyFont="1" applyFill="1"/>
    <xf numFmtId="0" fontId="12" fillId="0" borderId="0" xfId="0" applyFont="1" applyFill="1"/>
    <xf numFmtId="0" fontId="7" fillId="0" borderId="0" xfId="0" applyFont="1" applyFill="1"/>
    <xf numFmtId="0" fontId="7" fillId="0" borderId="0" xfId="0" applyFont="1" applyFill="1" applyBorder="1"/>
    <xf numFmtId="0" fontId="4" fillId="0" borderId="0" xfId="0" applyFont="1" applyFill="1"/>
    <xf numFmtId="0" fontId="5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9" fillId="0" borderId="0" xfId="0" applyFont="1" applyBorder="1"/>
    <xf numFmtId="1" fontId="9" fillId="0" borderId="0" xfId="0" applyNumberFormat="1" applyFont="1" applyBorder="1"/>
    <xf numFmtId="168" fontId="9" fillId="0" borderId="0" xfId="0" applyNumberFormat="1" applyFont="1" applyFill="1" applyBorder="1"/>
    <xf numFmtId="0" fontId="5" fillId="0" borderId="0" xfId="0" applyFont="1" applyFill="1" applyBorder="1" applyAlignment="1">
      <alignment horizontal="left" wrapText="1"/>
    </xf>
    <xf numFmtId="168" fontId="4" fillId="0" borderId="0" xfId="0" applyNumberFormat="1" applyFont="1" applyFill="1" applyBorder="1" applyAlignment="1">
      <alignment horizontal="right"/>
    </xf>
    <xf numFmtId="0" fontId="4" fillId="0" borderId="0" xfId="0" applyFont="1"/>
    <xf numFmtId="168" fontId="5" fillId="0" borderId="0" xfId="0" applyNumberFormat="1" applyFont="1" applyFill="1" applyAlignment="1">
      <alignment horizontal="right"/>
    </xf>
    <xf numFmtId="168" fontId="5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vertical="center"/>
    </xf>
    <xf numFmtId="49" fontId="17" fillId="0" borderId="0" xfId="0" applyNumberFormat="1" applyFont="1"/>
    <xf numFmtId="0" fontId="17" fillId="0" borderId="0" xfId="0" applyFont="1"/>
    <xf numFmtId="0" fontId="5" fillId="0" borderId="3" xfId="0" applyFont="1" applyFill="1" applyBorder="1" applyAlignment="1">
      <alignment horizontal="left" wrapText="1"/>
    </xf>
    <xf numFmtId="0" fontId="12" fillId="4" borderId="3" xfId="0" applyFont="1" applyFill="1" applyBorder="1" applyAlignment="1">
      <alignment horizontal="right" vertical="center"/>
    </xf>
    <xf numFmtId="164" fontId="16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Border="1"/>
    <xf numFmtId="0" fontId="10" fillId="5" borderId="0" xfId="0" applyFont="1" applyFill="1"/>
    <xf numFmtId="0" fontId="4" fillId="5" borderId="0" xfId="0" applyFont="1" applyFill="1"/>
    <xf numFmtId="168" fontId="11" fillId="5" borderId="0" xfId="0" applyNumberFormat="1" applyFont="1" applyFill="1" applyAlignment="1">
      <alignment horizontal="right"/>
    </xf>
    <xf numFmtId="0" fontId="4" fillId="0" borderId="0" xfId="0" applyFont="1" applyBorder="1" applyAlignment="1">
      <alignment horizontal="right"/>
    </xf>
    <xf numFmtId="0" fontId="9" fillId="0" borderId="0" xfId="0" applyFont="1" applyFill="1" applyBorder="1"/>
    <xf numFmtId="0" fontId="4" fillId="0" borderId="0" xfId="0" applyFont="1" applyFill="1" applyBorder="1" applyAlignment="1">
      <alignment horizontal="right" vertical="center"/>
    </xf>
    <xf numFmtId="170" fontId="5" fillId="0" borderId="1" xfId="3" applyNumberFormat="1" applyFont="1" applyFill="1" applyBorder="1" applyAlignment="1">
      <alignment horizontal="right"/>
    </xf>
    <xf numFmtId="170" fontId="5" fillId="3" borderId="1" xfId="3" applyNumberFormat="1" applyFont="1" applyFill="1" applyBorder="1" applyAlignment="1">
      <alignment horizontal="right"/>
    </xf>
    <xf numFmtId="170" fontId="5" fillId="0" borderId="1" xfId="0" applyNumberFormat="1" applyFont="1" applyFill="1" applyBorder="1"/>
    <xf numFmtId="0" fontId="12" fillId="0" borderId="1" xfId="0" applyFont="1" applyFill="1" applyBorder="1"/>
    <xf numFmtId="171" fontId="5" fillId="0" borderId="6" xfId="0" applyNumberFormat="1" applyFont="1" applyFill="1" applyBorder="1"/>
    <xf numFmtId="172" fontId="5" fillId="3" borderId="6" xfId="0" applyNumberFormat="1" applyFont="1" applyFill="1" applyBorder="1"/>
    <xf numFmtId="171" fontId="5" fillId="3" borderId="6" xfId="0" applyNumberFormat="1" applyFont="1" applyFill="1" applyBorder="1"/>
    <xf numFmtId="0" fontId="12" fillId="0" borderId="6" xfId="0" applyFont="1" applyFill="1" applyBorder="1"/>
    <xf numFmtId="0" fontId="12" fillId="3" borderId="0" xfId="0" applyFont="1" applyFill="1" applyBorder="1"/>
    <xf numFmtId="171" fontId="5" fillId="0" borderId="3" xfId="0" applyNumberFormat="1" applyFont="1" applyFill="1" applyBorder="1"/>
    <xf numFmtId="171" fontId="5" fillId="3" borderId="3" xfId="0" applyNumberFormat="1" applyFont="1" applyFill="1" applyBorder="1"/>
    <xf numFmtId="171" fontId="4" fillId="0" borderId="0" xfId="0" applyNumberFormat="1" applyFont="1" applyFill="1" applyAlignment="1">
      <alignment horizontal="right"/>
    </xf>
    <xf numFmtId="171" fontId="4" fillId="3" borderId="0" xfId="0" applyNumberFormat="1" applyFont="1" applyFill="1" applyBorder="1" applyAlignment="1">
      <alignment horizontal="right"/>
    </xf>
    <xf numFmtId="1" fontId="4" fillId="0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171" fontId="5" fillId="3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Alignment="1">
      <alignment horizontal="right"/>
    </xf>
    <xf numFmtId="164" fontId="4" fillId="3" borderId="0" xfId="0" applyNumberFormat="1" applyFont="1" applyFill="1" applyBorder="1" applyAlignment="1">
      <alignment horizontal="right"/>
    </xf>
    <xf numFmtId="171" fontId="5" fillId="0" borderId="0" xfId="0" applyNumberFormat="1" applyFont="1" applyFill="1" applyAlignment="1">
      <alignment horizontal="right"/>
    </xf>
    <xf numFmtId="171" fontId="21" fillId="0" borderId="0" xfId="0" applyNumberFormat="1" applyFont="1" applyFill="1" applyAlignment="1">
      <alignment horizontal="right"/>
    </xf>
    <xf numFmtId="171" fontId="21" fillId="3" borderId="0" xfId="0" applyNumberFormat="1" applyFont="1" applyFill="1" applyBorder="1" applyAlignment="1">
      <alignment horizontal="right"/>
    </xf>
    <xf numFmtId="1" fontId="5" fillId="0" borderId="0" xfId="0" applyNumberFormat="1" applyFont="1" applyFill="1" applyAlignment="1">
      <alignment horizontal="right"/>
    </xf>
    <xf numFmtId="171" fontId="21" fillId="6" borderId="1" xfId="0" applyNumberFormat="1" applyFont="1" applyFill="1" applyBorder="1" applyAlignment="1">
      <alignment horizontal="right"/>
    </xf>
    <xf numFmtId="171" fontId="21" fillId="7" borderId="1" xfId="0" applyNumberFormat="1" applyFont="1" applyFill="1" applyBorder="1" applyAlignment="1">
      <alignment horizontal="right"/>
    </xf>
    <xf numFmtId="171" fontId="5" fillId="6" borderId="1" xfId="0" applyNumberFormat="1" applyFont="1" applyFill="1" applyBorder="1" applyAlignment="1">
      <alignment horizontal="right"/>
    </xf>
    <xf numFmtId="171" fontId="5" fillId="7" borderId="1" xfId="0" applyNumberFormat="1" applyFont="1" applyFill="1" applyBorder="1" applyAlignment="1">
      <alignment horizontal="right"/>
    </xf>
    <xf numFmtId="3" fontId="5" fillId="6" borderId="1" xfId="0" applyNumberFormat="1" applyFont="1" applyFill="1" applyBorder="1" applyAlignment="1">
      <alignment horizontal="right"/>
    </xf>
    <xf numFmtId="0" fontId="5" fillId="6" borderId="1" xfId="0" applyFont="1" applyFill="1" applyBorder="1" applyAlignment="1">
      <alignment horizontal="left" wrapText="1"/>
    </xf>
    <xf numFmtId="171" fontId="21" fillId="6" borderId="0" xfId="0" applyNumberFormat="1" applyFont="1" applyFill="1" applyAlignment="1">
      <alignment horizontal="right"/>
    </xf>
    <xf numFmtId="171" fontId="21" fillId="7" borderId="0" xfId="0" applyNumberFormat="1" applyFont="1" applyFill="1" applyBorder="1" applyAlignment="1">
      <alignment horizontal="right"/>
    </xf>
    <xf numFmtId="171" fontId="5" fillId="6" borderId="0" xfId="0" applyNumberFormat="1" applyFont="1" applyFill="1" applyAlignment="1">
      <alignment horizontal="right"/>
    </xf>
    <xf numFmtId="171" fontId="5" fillId="7" borderId="0" xfId="0" applyNumberFormat="1" applyFont="1" applyFill="1" applyBorder="1" applyAlignment="1">
      <alignment horizontal="right"/>
    </xf>
    <xf numFmtId="171" fontId="5" fillId="6" borderId="0" xfId="0" applyNumberFormat="1" applyFont="1" applyFill="1" applyBorder="1" applyAlignment="1">
      <alignment horizontal="right"/>
    </xf>
    <xf numFmtId="3" fontId="5" fillId="6" borderId="0" xfId="0" applyNumberFormat="1" applyFont="1" applyFill="1" applyAlignment="1">
      <alignment horizontal="right"/>
    </xf>
    <xf numFmtId="0" fontId="5" fillId="6" borderId="0" xfId="0" applyFont="1" applyFill="1" applyBorder="1" applyAlignment="1">
      <alignment horizontal="left" wrapText="1"/>
    </xf>
    <xf numFmtId="171" fontId="5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171" fontId="16" fillId="3" borderId="0" xfId="0" applyNumberFormat="1" applyFont="1" applyFill="1" applyBorder="1" applyAlignment="1">
      <alignment horizontal="right"/>
    </xf>
    <xf numFmtId="171" fontId="16" fillId="0" borderId="0" xfId="0" applyNumberFormat="1" applyFont="1" applyFill="1" applyBorder="1" applyAlignment="1">
      <alignment horizontal="right"/>
    </xf>
    <xf numFmtId="171" fontId="21" fillId="0" borderId="0" xfId="0" applyNumberFormat="1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3" fontId="21" fillId="3" borderId="0" xfId="0" applyNumberFormat="1" applyFont="1" applyFill="1" applyBorder="1" applyAlignment="1">
      <alignment horizontal="right"/>
    </xf>
    <xf numFmtId="164" fontId="16" fillId="3" borderId="0" xfId="0" applyNumberFormat="1" applyFont="1" applyFill="1" applyBorder="1" applyAlignment="1">
      <alignment horizontal="right"/>
    </xf>
    <xf numFmtId="172" fontId="5" fillId="3" borderId="3" xfId="0" applyNumberFormat="1" applyFont="1" applyFill="1" applyBorder="1"/>
    <xf numFmtId="1" fontId="4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171" fontId="4" fillId="3" borderId="0" xfId="0" applyNumberFormat="1" applyFont="1" applyFill="1" applyBorder="1" applyAlignment="1"/>
    <xf numFmtId="171" fontId="4" fillId="0" borderId="0" xfId="0" applyNumberFormat="1" applyFont="1" applyFill="1" applyAlignment="1"/>
    <xf numFmtId="3" fontId="4" fillId="0" borderId="0" xfId="0" applyNumberFormat="1" applyFont="1" applyFill="1" applyAlignment="1">
      <alignment horizontal="right"/>
    </xf>
    <xf numFmtId="172" fontId="4" fillId="3" borderId="0" xfId="0" applyNumberFormat="1" applyFont="1" applyFill="1" applyBorder="1"/>
    <xf numFmtId="0" fontId="12" fillId="2" borderId="3" xfId="0" applyFont="1" applyFill="1" applyBorder="1" applyAlignment="1">
      <alignment horizontal="right"/>
    </xf>
    <xf numFmtId="0" fontId="9" fillId="0" borderId="3" xfId="0" applyFont="1" applyFill="1" applyBorder="1"/>
    <xf numFmtId="0" fontId="12" fillId="2" borderId="0" xfId="0" applyFont="1" applyFill="1" applyAlignment="1">
      <alignment horizontal="right"/>
    </xf>
    <xf numFmtId="0" fontId="12" fillId="2" borderId="0" xfId="0" applyFont="1" applyFill="1" applyBorder="1" applyAlignment="1">
      <alignment horizontal="right"/>
    </xf>
    <xf numFmtId="0" fontId="12" fillId="2" borderId="0" xfId="0" applyFont="1" applyFill="1"/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left" wrapText="1"/>
    </xf>
    <xf numFmtId="3" fontId="23" fillId="0" borderId="0" xfId="0" applyNumberFormat="1" applyFont="1" applyFill="1" applyBorder="1" applyAlignment="1">
      <alignment horizontal="right"/>
    </xf>
    <xf numFmtId="3" fontId="14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right"/>
    </xf>
    <xf numFmtId="3" fontId="4" fillId="0" borderId="0" xfId="0" applyNumberFormat="1" applyFont="1" applyFill="1" applyBorder="1" applyAlignment="1">
      <alignment horizontal="right" wrapText="1"/>
    </xf>
    <xf numFmtId="168" fontId="7" fillId="0" borderId="0" xfId="0" applyNumberFormat="1" applyFont="1" applyFill="1" applyAlignment="1">
      <alignment horizontal="right"/>
    </xf>
    <xf numFmtId="168" fontId="7" fillId="0" borderId="0" xfId="0" applyNumberFormat="1" applyFont="1" applyFill="1" applyBorder="1" applyAlignment="1">
      <alignment horizontal="right"/>
    </xf>
    <xf numFmtId="168" fontId="4" fillId="0" borderId="1" xfId="0" applyNumberFormat="1" applyFont="1" applyFill="1" applyBorder="1" applyAlignment="1">
      <alignment horizontal="right"/>
    </xf>
    <xf numFmtId="166" fontId="4" fillId="0" borderId="1" xfId="0" applyNumberFormat="1" applyFont="1" applyFill="1" applyBorder="1" applyAlignment="1">
      <alignment horizontal="right"/>
    </xf>
    <xf numFmtId="1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12" fillId="0" borderId="0" xfId="0" applyFont="1" applyFill="1" applyBorder="1"/>
    <xf numFmtId="166" fontId="5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right" wrapText="1"/>
    </xf>
    <xf numFmtId="166" fontId="5" fillId="0" borderId="0" xfId="0" applyNumberFormat="1" applyFont="1" applyFill="1" applyAlignment="1">
      <alignment horizontal="right"/>
    </xf>
    <xf numFmtId="0" fontId="5" fillId="0" borderId="0" xfId="0" applyNumberFormat="1" applyFont="1" applyFill="1" applyAlignment="1">
      <alignment horizontal="right"/>
    </xf>
    <xf numFmtId="3" fontId="5" fillId="0" borderId="0" xfId="0" applyNumberFormat="1" applyFont="1" applyFill="1" applyBorder="1" applyAlignment="1">
      <alignment horizontal="right" wrapText="1"/>
    </xf>
    <xf numFmtId="3" fontId="5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horizontal="right"/>
    </xf>
    <xf numFmtId="0" fontId="12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181" fontId="4" fillId="0" borderId="0" xfId="0" applyNumberFormat="1" applyFont="1" applyFill="1" applyBorder="1" applyAlignment="1">
      <alignment horizontal="right"/>
    </xf>
    <xf numFmtId="181" fontId="5" fillId="0" borderId="0" xfId="0" applyNumberFormat="1" applyFont="1" applyFill="1" applyBorder="1" applyAlignment="1">
      <alignment horizontal="right"/>
    </xf>
    <xf numFmtId="169" fontId="4" fillId="0" borderId="0" xfId="0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vertical="top" wrapText="1"/>
    </xf>
    <xf numFmtId="166" fontId="5" fillId="0" borderId="0" xfId="0" applyNumberFormat="1" applyFont="1" applyFill="1" applyBorder="1" applyAlignment="1">
      <alignment horizontal="right" wrapText="1"/>
    </xf>
    <xf numFmtId="182" fontId="4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6" fillId="0" borderId="0" xfId="0" applyFont="1" applyFill="1" applyAlignment="1">
      <alignment horizontal="right" vertical="top"/>
    </xf>
    <xf numFmtId="0" fontId="0" fillId="0" borderId="0" xfId="0" applyFill="1"/>
    <xf numFmtId="170" fontId="5" fillId="0" borderId="0" xfId="0" applyNumberFormat="1" applyFont="1" applyFill="1" applyAlignment="1">
      <alignment horizontal="right"/>
    </xf>
    <xf numFmtId="170" fontId="5" fillId="0" borderId="0" xfId="3" applyNumberFormat="1" applyFont="1" applyFill="1" applyAlignment="1">
      <alignment horizontal="right"/>
    </xf>
    <xf numFmtId="170" fontId="4" fillId="0" borderId="0" xfId="0" applyNumberFormat="1" applyFont="1" applyFill="1" applyAlignment="1">
      <alignment horizontal="right"/>
    </xf>
    <xf numFmtId="170" fontId="4" fillId="0" borderId="0" xfId="0" applyNumberFormat="1" applyFont="1" applyFill="1" applyBorder="1" applyAlignment="1">
      <alignment horizontal="right"/>
    </xf>
    <xf numFmtId="0" fontId="25" fillId="0" borderId="0" xfId="0" applyFont="1" applyFill="1"/>
    <xf numFmtId="0" fontId="4" fillId="0" borderId="0" xfId="0" applyFont="1" applyAlignment="1">
      <alignment horizontal="right"/>
    </xf>
    <xf numFmtId="0" fontId="10" fillId="5" borderId="0" xfId="0" applyFont="1" applyFill="1" applyAlignment="1">
      <alignment horizontal="left"/>
    </xf>
    <xf numFmtId="168" fontId="10" fillId="5" borderId="0" xfId="0" applyNumberFormat="1" applyFont="1" applyFill="1" applyAlignment="1">
      <alignment horizontal="right"/>
    </xf>
    <xf numFmtId="0" fontId="10" fillId="5" borderId="0" xfId="0" applyFont="1" applyFill="1" applyBorder="1"/>
    <xf numFmtId="0" fontId="4" fillId="5" borderId="0" xfId="0" applyFont="1" applyFill="1" applyAlignment="1">
      <alignment wrapText="1"/>
    </xf>
    <xf numFmtId="1" fontId="10" fillId="5" borderId="0" xfId="0" applyNumberFormat="1" applyFont="1" applyFill="1" applyAlignment="1">
      <alignment horizontal="right"/>
    </xf>
    <xf numFmtId="0" fontId="14" fillId="5" borderId="0" xfId="0" applyFont="1" applyFill="1" applyAlignment="1">
      <alignment horizontal="right"/>
    </xf>
    <xf numFmtId="173" fontId="4" fillId="0" borderId="0" xfId="0" applyNumberFormat="1" applyFont="1"/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Fill="1"/>
    <xf numFmtId="0" fontId="23" fillId="0" borderId="0" xfId="0" applyFont="1"/>
    <xf numFmtId="0" fontId="26" fillId="0" borderId="0" xfId="0" applyFont="1" applyFill="1"/>
    <xf numFmtId="0" fontId="26" fillId="0" borderId="0" xfId="0" applyFont="1"/>
    <xf numFmtId="0" fontId="23" fillId="0" borderId="0" xfId="0" applyFont="1" applyFill="1" applyAlignment="1">
      <alignment vertical="center"/>
    </xf>
    <xf numFmtId="0" fontId="23" fillId="0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0" fontId="23" fillId="5" borderId="0" xfId="0" applyFont="1" applyFill="1" applyAlignment="1">
      <alignment vertical="center"/>
    </xf>
    <xf numFmtId="0" fontId="23" fillId="5" borderId="0" xfId="0" applyFont="1" applyFill="1" applyBorder="1" applyAlignment="1">
      <alignment horizontal="right" vertical="center"/>
    </xf>
    <xf numFmtId="0" fontId="23" fillId="5" borderId="0" xfId="0" applyFont="1" applyFill="1" applyBorder="1" applyAlignment="1">
      <alignment vertical="center"/>
    </xf>
    <xf numFmtId="0" fontId="23" fillId="5" borderId="0" xfId="0" applyFont="1" applyFill="1"/>
    <xf numFmtId="174" fontId="23" fillId="0" borderId="7" xfId="0" applyNumberFormat="1" applyFont="1" applyFill="1" applyBorder="1" applyAlignment="1">
      <alignment horizontal="right" vertical="center"/>
    </xf>
    <xf numFmtId="174" fontId="23" fillId="0" borderId="0" xfId="0" applyNumberFormat="1" applyFont="1" applyFill="1" applyBorder="1" applyAlignment="1">
      <alignment horizontal="right" vertical="center"/>
    </xf>
    <xf numFmtId="185" fontId="23" fillId="0" borderId="7" xfId="0" applyNumberFormat="1" applyFont="1" applyFill="1" applyBorder="1" applyAlignment="1">
      <alignment horizontal="right" vertical="center"/>
    </xf>
    <xf numFmtId="185" fontId="23" fillId="0" borderId="0" xfId="0" applyNumberFormat="1" applyFont="1" applyFill="1" applyBorder="1" applyAlignment="1">
      <alignment horizontal="right" vertical="center"/>
    </xf>
    <xf numFmtId="0" fontId="23" fillId="0" borderId="7" xfId="0" applyFont="1" applyFill="1" applyBorder="1" applyAlignment="1">
      <alignment horizontal="left" vertical="center" wrapText="1"/>
    </xf>
    <xf numFmtId="0" fontId="26" fillId="0" borderId="7" xfId="0" applyFont="1" applyFill="1" applyBorder="1" applyAlignment="1">
      <alignment horizontal="left" vertical="center" wrapText="1"/>
    </xf>
    <xf numFmtId="174" fontId="23" fillId="12" borderId="0" xfId="0" applyNumberFormat="1" applyFont="1" applyFill="1" applyBorder="1" applyAlignment="1">
      <alignment horizontal="right" vertical="center"/>
    </xf>
    <xf numFmtId="185" fontId="23" fillId="12" borderId="0" xfId="0" applyNumberFormat="1" applyFont="1" applyFill="1" applyBorder="1" applyAlignment="1">
      <alignment horizontal="right" vertical="center"/>
    </xf>
    <xf numFmtId="185" fontId="26" fillId="12" borderId="0" xfId="0" applyNumberFormat="1" applyFont="1" applyFill="1" applyBorder="1" applyAlignment="1">
      <alignment horizontal="right" vertical="center"/>
    </xf>
    <xf numFmtId="174" fontId="23" fillId="12" borderId="13" xfId="0" applyNumberFormat="1" applyFont="1" applyFill="1" applyBorder="1" applyAlignment="1">
      <alignment horizontal="right" vertical="center"/>
    </xf>
    <xf numFmtId="185" fontId="23" fillId="12" borderId="13" xfId="0" applyNumberFormat="1" applyFont="1" applyFill="1" applyBorder="1" applyAlignment="1">
      <alignment horizontal="right" vertical="center"/>
    </xf>
    <xf numFmtId="185" fontId="26" fillId="12" borderId="13" xfId="0" applyNumberFormat="1" applyFont="1" applyFill="1" applyBorder="1" applyAlignment="1">
      <alignment horizontal="right" vertical="center"/>
    </xf>
    <xf numFmtId="0" fontId="26" fillId="8" borderId="6" xfId="0" applyFont="1" applyFill="1" applyBorder="1" applyAlignment="1">
      <alignment horizontal="right" vertical="center"/>
    </xf>
    <xf numFmtId="0" fontId="26" fillId="11" borderId="6" xfId="0" applyFont="1" applyFill="1" applyBorder="1" applyAlignment="1">
      <alignment horizontal="right" vertical="center"/>
    </xf>
    <xf numFmtId="0" fontId="26" fillId="8" borderId="16" xfId="0" applyFont="1" applyFill="1" applyBorder="1" applyAlignment="1">
      <alignment horizontal="right" vertical="center"/>
    </xf>
    <xf numFmtId="0" fontId="26" fillId="11" borderId="17" xfId="0" applyFont="1" applyFill="1" applyBorder="1" applyAlignment="1">
      <alignment horizontal="right" vertical="center"/>
    </xf>
    <xf numFmtId="185" fontId="26" fillId="0" borderId="0" xfId="0" applyNumberFormat="1" applyFont="1" applyFill="1" applyBorder="1" applyAlignment="1">
      <alignment vertical="center"/>
    </xf>
    <xf numFmtId="185" fontId="26" fillId="0" borderId="7" xfId="0" applyNumberFormat="1" applyFont="1" applyFill="1" applyBorder="1" applyAlignment="1">
      <alignment vertical="center"/>
    </xf>
    <xf numFmtId="174" fontId="26" fillId="9" borderId="11" xfId="0" applyNumberFormat="1" applyFont="1" applyFill="1" applyBorder="1" applyAlignment="1">
      <alignment vertical="center"/>
    </xf>
    <xf numFmtId="174" fontId="26" fillId="12" borderId="11" xfId="0" applyNumberFormat="1" applyFont="1" applyFill="1" applyBorder="1" applyAlignment="1">
      <alignment horizontal="right" vertical="center"/>
    </xf>
    <xf numFmtId="174" fontId="26" fillId="9" borderId="10" xfId="0" applyNumberFormat="1" applyFont="1" applyFill="1" applyBorder="1" applyAlignment="1">
      <alignment vertical="center"/>
    </xf>
    <xf numFmtId="174" fontId="26" fillId="12" borderId="12" xfId="0" applyNumberFormat="1" applyFont="1" applyFill="1" applyBorder="1" applyAlignment="1">
      <alignment horizontal="right" vertical="center"/>
    </xf>
    <xf numFmtId="185" fontId="26" fillId="9" borderId="11" xfId="0" applyNumberFormat="1" applyFont="1" applyFill="1" applyBorder="1" applyAlignment="1">
      <alignment vertical="center"/>
    </xf>
    <xf numFmtId="185" fontId="26" fillId="10" borderId="11" xfId="0" applyNumberFormat="1" applyFont="1" applyFill="1" applyBorder="1" applyAlignment="1">
      <alignment vertical="center"/>
    </xf>
    <xf numFmtId="185" fontId="26" fillId="9" borderId="10" xfId="0" applyNumberFormat="1" applyFont="1" applyFill="1" applyBorder="1" applyAlignment="1">
      <alignment vertical="center"/>
    </xf>
    <xf numFmtId="185" fontId="26" fillId="10" borderId="12" xfId="0" applyNumberFormat="1" applyFont="1" applyFill="1" applyBorder="1" applyAlignment="1">
      <alignment vertical="center"/>
    </xf>
    <xf numFmtId="174" fontId="26" fillId="10" borderId="11" xfId="0" applyNumberFormat="1" applyFont="1" applyFill="1" applyBorder="1" applyAlignment="1">
      <alignment horizontal="right" vertical="center"/>
    </xf>
    <xf numFmtId="174" fontId="26" fillId="10" borderId="12" xfId="0" applyNumberFormat="1" applyFont="1" applyFill="1" applyBorder="1" applyAlignment="1">
      <alignment horizontal="right" vertical="center"/>
    </xf>
    <xf numFmtId="0" fontId="23" fillId="5" borderId="0" xfId="0" applyFont="1" applyFill="1" applyBorder="1"/>
    <xf numFmtId="185" fontId="23" fillId="5" borderId="0" xfId="0" applyNumberFormat="1" applyFont="1" applyFill="1" applyBorder="1" applyAlignment="1">
      <alignment horizontal="right" vertical="center"/>
    </xf>
    <xf numFmtId="188" fontId="5" fillId="0" borderId="0" xfId="0" applyNumberFormat="1" applyFont="1" applyFill="1" applyBorder="1" applyAlignment="1">
      <alignment horizontal="right"/>
    </xf>
    <xf numFmtId="188" fontId="4" fillId="0" borderId="0" xfId="0" applyNumberFormat="1" applyFont="1" applyFill="1" applyBorder="1" applyAlignment="1">
      <alignment horizontal="right"/>
    </xf>
    <xf numFmtId="188" fontId="4" fillId="0" borderId="0" xfId="0" applyNumberFormat="1" applyFont="1" applyFill="1"/>
    <xf numFmtId="188" fontId="7" fillId="0" borderId="0" xfId="0" applyNumberFormat="1" applyFont="1" applyFill="1" applyBorder="1" applyAlignment="1">
      <alignment horizontal="right"/>
    </xf>
    <xf numFmtId="188" fontId="14" fillId="0" borderId="0" xfId="0" applyNumberFormat="1" applyFont="1" applyFill="1" applyAlignment="1">
      <alignment horizontal="right"/>
    </xf>
    <xf numFmtId="188" fontId="4" fillId="0" borderId="0" xfId="0" applyNumberFormat="1" applyFont="1"/>
    <xf numFmtId="188" fontId="6" fillId="0" borderId="0" xfId="0" applyNumberFormat="1" applyFont="1" applyFill="1" applyBorder="1" applyAlignment="1">
      <alignment horizontal="right"/>
    </xf>
    <xf numFmtId="188" fontId="7" fillId="0" borderId="0" xfId="0" applyNumberFormat="1" applyFont="1" applyFill="1" applyBorder="1"/>
    <xf numFmtId="174" fontId="23" fillId="5" borderId="0" xfId="0" applyNumberFormat="1" applyFont="1" applyFill="1" applyBorder="1" applyAlignment="1">
      <alignment horizontal="right" vertical="center"/>
    </xf>
    <xf numFmtId="185" fontId="26" fillId="5" borderId="0" xfId="0" applyNumberFormat="1" applyFont="1" applyFill="1" applyBorder="1" applyAlignment="1">
      <alignment vertical="center"/>
    </xf>
    <xf numFmtId="189" fontId="26" fillId="0" borderId="0" xfId="0" applyNumberFormat="1" applyFont="1" applyFill="1" applyBorder="1" applyAlignment="1">
      <alignment horizontal="right" vertical="center"/>
    </xf>
    <xf numFmtId="189" fontId="26" fillId="12" borderId="0" xfId="0" applyNumberFormat="1" applyFont="1" applyFill="1" applyBorder="1" applyAlignment="1">
      <alignment horizontal="right" vertical="center"/>
    </xf>
    <xf numFmtId="189" fontId="26" fillId="12" borderId="13" xfId="0" applyNumberFormat="1" applyFont="1" applyFill="1" applyBorder="1" applyAlignment="1">
      <alignment horizontal="right" vertical="center"/>
    </xf>
    <xf numFmtId="189" fontId="26" fillId="5" borderId="0" xfId="0" applyNumberFormat="1" applyFont="1" applyFill="1" applyBorder="1" applyAlignment="1">
      <alignment horizontal="right" vertical="center"/>
    </xf>
    <xf numFmtId="189" fontId="29" fillId="0" borderId="0" xfId="0" applyNumberFormat="1" applyFont="1" applyFill="1" applyAlignment="1">
      <alignment horizontal="right" vertical="center"/>
    </xf>
    <xf numFmtId="184" fontId="30" fillId="0" borderId="0" xfId="0" applyNumberFormat="1" applyFont="1" applyFill="1" applyAlignment="1">
      <alignment horizontal="right" vertical="center"/>
    </xf>
    <xf numFmtId="189" fontId="26" fillId="0" borderId="7" xfId="0" applyNumberFormat="1" applyFont="1" applyFill="1" applyBorder="1" applyAlignment="1">
      <alignment horizontal="right" vertical="center"/>
    </xf>
    <xf numFmtId="0" fontId="31" fillId="5" borderId="0" xfId="0" applyFont="1" applyFill="1"/>
    <xf numFmtId="186" fontId="13" fillId="0" borderId="0" xfId="0" applyNumberFormat="1" applyFont="1" applyFill="1" applyAlignment="1">
      <alignment horizontal="right" vertical="center"/>
    </xf>
    <xf numFmtId="184" fontId="13" fillId="0" borderId="0" xfId="0" applyNumberFormat="1" applyFont="1" applyFill="1" applyAlignment="1">
      <alignment horizontal="right" vertical="center"/>
    </xf>
    <xf numFmtId="0" fontId="32" fillId="5" borderId="0" xfId="0" applyFont="1" applyFill="1" applyAlignment="1">
      <alignment vertical="center"/>
    </xf>
    <xf numFmtId="0" fontId="33" fillId="5" borderId="8" xfId="0" applyFont="1" applyFill="1" applyBorder="1" applyAlignment="1">
      <alignment vertical="center" wrapText="1"/>
    </xf>
    <xf numFmtId="0" fontId="33" fillId="5" borderId="9" xfId="0" applyFont="1" applyFill="1" applyBorder="1" applyAlignment="1">
      <alignment vertical="center" wrapText="1"/>
    </xf>
    <xf numFmtId="0" fontId="28" fillId="9" borderId="10" xfId="0" applyFont="1" applyFill="1" applyBorder="1" applyAlignment="1">
      <alignment vertical="center" wrapText="1"/>
    </xf>
    <xf numFmtId="0" fontId="28" fillId="9" borderId="8" xfId="0" applyFont="1" applyFill="1" applyBorder="1" applyAlignment="1">
      <alignment vertical="center" wrapText="1"/>
    </xf>
    <xf numFmtId="0" fontId="28" fillId="9" borderId="14" xfId="0" applyFont="1" applyFill="1" applyBorder="1" applyAlignment="1">
      <alignment vertical="center" wrapText="1"/>
    </xf>
    <xf numFmtId="173" fontId="28" fillId="13" borderId="14" xfId="0" applyNumberFormat="1" applyFont="1" applyFill="1" applyBorder="1" applyAlignment="1">
      <alignment vertical="center" wrapText="1"/>
    </xf>
    <xf numFmtId="173" fontId="28" fillId="13" borderId="15" xfId="0" applyNumberFormat="1" applyFont="1" applyFill="1" applyBorder="1" applyAlignment="1">
      <alignment vertical="center" wrapText="1"/>
    </xf>
    <xf numFmtId="0" fontId="28" fillId="9" borderId="9" xfId="0" applyFont="1" applyFill="1" applyBorder="1" applyAlignment="1">
      <alignment vertical="center" wrapText="1"/>
    </xf>
    <xf numFmtId="170" fontId="28" fillId="9" borderId="9" xfId="2" applyNumberFormat="1" applyFont="1" applyFill="1" applyBorder="1" applyAlignment="1">
      <alignment vertical="center" wrapText="1"/>
    </xf>
    <xf numFmtId="170" fontId="28" fillId="9" borderId="18" xfId="2" applyNumberFormat="1" applyFont="1" applyFill="1" applyBorder="1" applyAlignment="1">
      <alignment vertical="center" wrapText="1"/>
    </xf>
    <xf numFmtId="170" fontId="28" fillId="13" borderId="19" xfId="2" applyNumberFormat="1" applyFont="1" applyFill="1" applyBorder="1" applyAlignment="1">
      <alignment vertical="center" wrapText="1"/>
    </xf>
    <xf numFmtId="170" fontId="28" fillId="13" borderId="18" xfId="2" applyNumberFormat="1" applyFont="1" applyFill="1" applyBorder="1" applyAlignment="1">
      <alignment vertical="center" wrapText="1"/>
    </xf>
    <xf numFmtId="170" fontId="28" fillId="9" borderId="18" xfId="3" applyNumberFormat="1" applyFont="1" applyFill="1" applyBorder="1" applyAlignment="1">
      <alignment vertical="center" wrapText="1"/>
    </xf>
    <xf numFmtId="170" fontId="28" fillId="13" borderId="19" xfId="3" applyNumberFormat="1" applyFont="1" applyFill="1" applyBorder="1" applyAlignment="1">
      <alignment vertical="center" wrapText="1"/>
    </xf>
    <xf numFmtId="167" fontId="28" fillId="9" borderId="14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188" fontId="4" fillId="3" borderId="0" xfId="0" applyNumberFormat="1" applyFont="1" applyFill="1" applyAlignment="1">
      <alignment horizontal="right" vertical="center"/>
    </xf>
    <xf numFmtId="188" fontId="4" fillId="3" borderId="0" xfId="0" applyNumberFormat="1" applyFont="1" applyFill="1" applyBorder="1" applyAlignment="1">
      <alignment horizontal="right" vertical="center"/>
    </xf>
    <xf numFmtId="188" fontId="4" fillId="0" borderId="0" xfId="0" applyNumberFormat="1" applyFont="1" applyFill="1" applyBorder="1" applyAlignment="1">
      <alignment horizontal="right" vertical="center"/>
    </xf>
    <xf numFmtId="188" fontId="7" fillId="3" borderId="0" xfId="0" applyNumberFormat="1" applyFont="1" applyFill="1" applyBorder="1" applyAlignment="1">
      <alignment horizontal="right" vertical="center"/>
    </xf>
    <xf numFmtId="188" fontId="4" fillId="0" borderId="0" xfId="0" applyNumberFormat="1" applyFont="1" applyFill="1" applyAlignment="1">
      <alignment horizontal="right" vertical="center"/>
    </xf>
    <xf numFmtId="188" fontId="4" fillId="0" borderId="0" xfId="0" applyNumberFormat="1" applyFont="1" applyFill="1" applyAlignment="1">
      <alignment vertical="center"/>
    </xf>
    <xf numFmtId="188" fontId="4" fillId="3" borderId="0" xfId="0" applyNumberFormat="1" applyFont="1" applyFill="1" applyAlignment="1">
      <alignment vertical="center"/>
    </xf>
    <xf numFmtId="187" fontId="4" fillId="0" borderId="0" xfId="0" applyNumberFormat="1" applyFont="1" applyFill="1" applyAlignment="1">
      <alignment vertical="center"/>
    </xf>
    <xf numFmtId="187" fontId="4" fillId="3" borderId="0" xfId="0" applyNumberFormat="1" applyFont="1" applyFill="1" applyAlignment="1">
      <alignment vertical="center"/>
    </xf>
    <xf numFmtId="0" fontId="11" fillId="3" borderId="0" xfId="0" applyFont="1" applyFill="1" applyAlignment="1">
      <alignment horizontal="right" vertical="center"/>
    </xf>
    <xf numFmtId="0" fontId="10" fillId="3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168" fontId="13" fillId="3" borderId="0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168" fontId="10" fillId="3" borderId="0" xfId="0" applyNumberFormat="1" applyFont="1" applyFill="1" applyAlignment="1">
      <alignment horizontal="right" vertical="center"/>
    </xf>
    <xf numFmtId="187" fontId="10" fillId="3" borderId="0" xfId="0" applyNumberFormat="1" applyFont="1" applyFill="1" applyAlignment="1">
      <alignment vertical="center"/>
    </xf>
    <xf numFmtId="187" fontId="10" fillId="0" borderId="0" xfId="0" applyNumberFormat="1" applyFont="1" applyFill="1" applyAlignment="1">
      <alignment vertical="center"/>
    </xf>
    <xf numFmtId="173" fontId="10" fillId="0" borderId="0" xfId="0" applyNumberFormat="1" applyFont="1" applyFill="1" applyBorder="1" applyAlignment="1">
      <alignment vertical="center"/>
    </xf>
    <xf numFmtId="168" fontId="10" fillId="3" borderId="0" xfId="0" applyNumberFormat="1" applyFont="1" applyFill="1" applyBorder="1" applyAlignment="1">
      <alignment horizontal="right" vertical="center"/>
    </xf>
    <xf numFmtId="1" fontId="10" fillId="3" borderId="0" xfId="0" applyNumberFormat="1" applyFont="1" applyFill="1" applyAlignment="1">
      <alignment horizontal="right" vertical="center"/>
    </xf>
    <xf numFmtId="1" fontId="10" fillId="0" borderId="0" xfId="0" applyNumberFormat="1" applyFont="1" applyFill="1" applyAlignment="1">
      <alignment horizontal="right" vertical="center"/>
    </xf>
    <xf numFmtId="187" fontId="16" fillId="3" borderId="0" xfId="0" applyNumberFormat="1" applyFont="1" applyFill="1" applyAlignment="1">
      <alignment horizontal="right" vertical="center"/>
    </xf>
    <xf numFmtId="0" fontId="2" fillId="5" borderId="0" xfId="0" applyFont="1" applyFill="1"/>
    <xf numFmtId="0" fontId="36" fillId="8" borderId="6" xfId="0" applyFont="1" applyFill="1" applyBorder="1" applyAlignment="1">
      <alignment horizontal="right" vertical="center"/>
    </xf>
    <xf numFmtId="174" fontId="36" fillId="9" borderId="11" xfId="0" applyNumberFormat="1" applyFont="1" applyFill="1" applyBorder="1" applyAlignment="1">
      <alignment vertical="center"/>
    </xf>
    <xf numFmtId="174" fontId="37" fillId="5" borderId="0" xfId="0" applyNumberFormat="1" applyFont="1" applyFill="1" applyBorder="1" applyAlignment="1">
      <alignment horizontal="right" vertical="center"/>
    </xf>
    <xf numFmtId="185" fontId="36" fillId="9" borderId="11" xfId="0" applyNumberFormat="1" applyFont="1" applyFill="1" applyBorder="1" applyAlignment="1">
      <alignment vertical="center"/>
    </xf>
    <xf numFmtId="185" fontId="37" fillId="5" borderId="0" xfId="0" applyNumberFormat="1" applyFont="1" applyFill="1" applyBorder="1" applyAlignment="1">
      <alignment horizontal="right" vertical="center"/>
    </xf>
    <xf numFmtId="187" fontId="36" fillId="5" borderId="0" xfId="0" applyNumberFormat="1" applyFont="1" applyFill="1" applyBorder="1" applyAlignment="1">
      <alignment vertical="center"/>
    </xf>
    <xf numFmtId="187" fontId="37" fillId="5" borderId="0" xfId="0" applyNumberFormat="1" applyFont="1" applyFill="1" applyBorder="1" applyAlignment="1">
      <alignment horizontal="right" vertical="center"/>
    </xf>
    <xf numFmtId="189" fontId="36" fillId="5" borderId="0" xfId="0" applyNumberFormat="1" applyFont="1" applyFill="1" applyBorder="1" applyAlignment="1">
      <alignment vertical="center"/>
    </xf>
    <xf numFmtId="167" fontId="38" fillId="9" borderId="14" xfId="0" applyNumberFormat="1" applyFont="1" applyFill="1" applyBorder="1" applyAlignment="1">
      <alignment vertical="center" wrapText="1"/>
    </xf>
    <xf numFmtId="170" fontId="38" fillId="9" borderId="18" xfId="3" applyNumberFormat="1" applyFont="1" applyFill="1" applyBorder="1" applyAlignment="1">
      <alignment vertical="center" wrapText="1"/>
    </xf>
    <xf numFmtId="0" fontId="37" fillId="5" borderId="0" xfId="0" applyFont="1" applyFill="1" applyAlignment="1">
      <alignment vertical="center"/>
    </xf>
    <xf numFmtId="0" fontId="37" fillId="5" borderId="0" xfId="0" applyFont="1" applyFill="1"/>
    <xf numFmtId="0" fontId="37" fillId="0" borderId="0" xfId="0" applyFont="1" applyAlignment="1">
      <alignment vertical="center"/>
    </xf>
    <xf numFmtId="0" fontId="39" fillId="0" borderId="0" xfId="0" applyFont="1"/>
    <xf numFmtId="0" fontId="40" fillId="5" borderId="8" xfId="0" applyFont="1" applyFill="1" applyBorder="1" applyAlignment="1">
      <alignment vertical="center" wrapText="1"/>
    </xf>
    <xf numFmtId="0" fontId="40" fillId="5" borderId="9" xfId="0" applyFont="1" applyFill="1" applyBorder="1" applyAlignment="1">
      <alignment vertical="center" wrapText="1"/>
    </xf>
    <xf numFmtId="0" fontId="37" fillId="0" borderId="0" xfId="0" applyFont="1" applyFill="1"/>
    <xf numFmtId="0" fontId="37" fillId="0" borderId="0" xfId="0" applyFont="1"/>
    <xf numFmtId="0" fontId="41" fillId="5" borderId="0" xfId="0" applyFont="1" applyFill="1" applyAlignment="1">
      <alignment vertical="center"/>
    </xf>
    <xf numFmtId="0" fontId="42" fillId="5" borderId="8" xfId="0" applyFont="1" applyFill="1" applyBorder="1" applyAlignment="1">
      <alignment vertical="center" wrapText="1"/>
    </xf>
    <xf numFmtId="0" fontId="42" fillId="5" borderId="7" xfId="0" applyFont="1" applyFill="1" applyBorder="1" applyAlignment="1">
      <alignment vertical="center" wrapText="1"/>
    </xf>
    <xf numFmtId="0" fontId="42" fillId="5" borderId="9" xfId="0" applyFont="1" applyFill="1" applyBorder="1" applyAlignment="1">
      <alignment vertical="center" wrapText="1"/>
    </xf>
    <xf numFmtId="0" fontId="42" fillId="5" borderId="7" xfId="0" applyFont="1" applyFill="1" applyBorder="1" applyAlignment="1">
      <alignment horizontal="left" vertical="center" wrapText="1"/>
    </xf>
    <xf numFmtId="0" fontId="42" fillId="5" borderId="7" xfId="0" applyFont="1" applyFill="1" applyBorder="1" applyAlignment="1">
      <alignment wrapText="1"/>
    </xf>
    <xf numFmtId="0" fontId="38" fillId="5" borderId="9" xfId="0" applyFont="1" applyFill="1" applyBorder="1" applyAlignment="1">
      <alignment vertical="center"/>
    </xf>
    <xf numFmtId="0" fontId="43" fillId="5" borderId="8" xfId="0" applyFont="1" applyFill="1" applyBorder="1" applyAlignment="1">
      <alignment vertical="center" wrapText="1"/>
    </xf>
    <xf numFmtId="0" fontId="43" fillId="5" borderId="7" xfId="0" applyFont="1" applyFill="1" applyBorder="1" applyAlignment="1">
      <alignment vertical="center" wrapText="1"/>
    </xf>
    <xf numFmtId="0" fontId="43" fillId="5" borderId="10" xfId="0" applyFont="1" applyFill="1" applyBorder="1" applyAlignment="1">
      <alignment vertical="center" wrapText="1"/>
    </xf>
    <xf numFmtId="0" fontId="38" fillId="5" borderId="7" xfId="0" applyFont="1" applyFill="1" applyBorder="1" applyAlignment="1">
      <alignment vertical="center"/>
    </xf>
    <xf numFmtId="0" fontId="28" fillId="0" borderId="7" xfId="0" applyFont="1" applyBorder="1" applyAlignment="1">
      <alignment vertical="center"/>
    </xf>
    <xf numFmtId="0" fontId="23" fillId="0" borderId="0" xfId="0" applyFont="1" applyFill="1" applyAlignment="1">
      <alignment vertical="center" wrapText="1"/>
    </xf>
    <xf numFmtId="0" fontId="26" fillId="11" borderId="11" xfId="0" applyFont="1" applyFill="1" applyBorder="1" applyAlignment="1">
      <alignment horizontal="right" vertical="center"/>
    </xf>
    <xf numFmtId="0" fontId="26" fillId="11" borderId="11" xfId="0" applyFont="1" applyFill="1" applyBorder="1" applyAlignment="1">
      <alignment horizontal="right" vertical="center" wrapText="1"/>
    </xf>
    <xf numFmtId="0" fontId="26" fillId="8" borderId="11" xfId="0" applyFont="1" applyFill="1" applyBorder="1" applyAlignment="1">
      <alignment horizontal="right" vertical="center"/>
    </xf>
    <xf numFmtId="187" fontId="5" fillId="10" borderId="11" xfId="0" applyNumberFormat="1" applyFont="1" applyFill="1" applyBorder="1" applyAlignment="1">
      <alignment vertical="center"/>
    </xf>
    <xf numFmtId="187" fontId="5" fillId="9" borderId="11" xfId="0" applyNumberFormat="1" applyFont="1" applyFill="1" applyBorder="1" applyAlignment="1">
      <alignment vertical="center"/>
    </xf>
    <xf numFmtId="0" fontId="24" fillId="0" borderId="0" xfId="0" applyFont="1" applyFill="1" applyAlignment="1">
      <alignment horizontal="left" vertical="center"/>
    </xf>
    <xf numFmtId="0" fontId="34" fillId="9" borderId="10" xfId="0" applyFont="1" applyFill="1" applyBorder="1" applyAlignment="1">
      <alignment vertical="center" wrapText="1"/>
    </xf>
    <xf numFmtId="0" fontId="2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8" fontId="30" fillId="3" borderId="0" xfId="0" applyNumberFormat="1" applyFont="1" applyFill="1" applyBorder="1" applyAlignment="1">
      <alignment horizontal="right" vertical="center"/>
    </xf>
    <xf numFmtId="168" fontId="23" fillId="3" borderId="0" xfId="0" applyNumberFormat="1" applyFont="1" applyFill="1" applyAlignment="1">
      <alignment horizontal="right" vertical="center"/>
    </xf>
    <xf numFmtId="168" fontId="23" fillId="0" borderId="0" xfId="0" applyNumberFormat="1" applyFont="1" applyFill="1" applyAlignment="1">
      <alignment horizontal="right" vertical="center"/>
    </xf>
    <xf numFmtId="168" fontId="30" fillId="0" borderId="0" xfId="0" applyNumberFormat="1" applyFont="1" applyFill="1" applyBorder="1" applyAlignment="1">
      <alignment horizontal="right" vertical="center"/>
    </xf>
    <xf numFmtId="169" fontId="30" fillId="0" borderId="0" xfId="0" applyNumberFormat="1" applyFont="1" applyFill="1" applyBorder="1" applyAlignment="1">
      <alignment horizontal="right" vertical="center"/>
    </xf>
    <xf numFmtId="169" fontId="23" fillId="0" borderId="0" xfId="0" applyNumberFormat="1" applyFont="1" applyFill="1" applyAlignment="1">
      <alignment vertical="center"/>
    </xf>
    <xf numFmtId="169" fontId="23" fillId="3" borderId="0" xfId="0" applyNumberFormat="1" applyFont="1" applyFill="1" applyAlignment="1">
      <alignment vertical="center"/>
    </xf>
    <xf numFmtId="178" fontId="23" fillId="0" borderId="0" xfId="0" applyNumberFormat="1" applyFont="1" applyFill="1" applyBorder="1" applyAlignment="1">
      <alignment vertical="center"/>
    </xf>
    <xf numFmtId="178" fontId="23" fillId="3" borderId="0" xfId="0" applyNumberFormat="1" applyFont="1" applyFill="1" applyAlignment="1">
      <alignment vertical="center"/>
    </xf>
    <xf numFmtId="178" fontId="23" fillId="0" borderId="0" xfId="0" applyNumberFormat="1" applyFont="1" applyFill="1" applyAlignment="1">
      <alignment vertical="center"/>
    </xf>
    <xf numFmtId="187" fontId="23" fillId="3" borderId="0" xfId="0" applyNumberFormat="1" applyFont="1" applyFill="1" applyAlignment="1">
      <alignment vertical="center"/>
    </xf>
    <xf numFmtId="187" fontId="23" fillId="0" borderId="0" xfId="0" applyNumberFormat="1" applyFont="1" applyFill="1" applyAlignment="1">
      <alignment vertical="center"/>
    </xf>
    <xf numFmtId="173" fontId="23" fillId="0" borderId="0" xfId="0" applyNumberFormat="1" applyFont="1" applyFill="1" applyBorder="1" applyAlignment="1">
      <alignment vertical="center"/>
    </xf>
    <xf numFmtId="164" fontId="30" fillId="3" borderId="0" xfId="0" applyNumberFormat="1" applyFont="1" applyFill="1" applyBorder="1" applyAlignment="1">
      <alignment horizontal="right" vertical="center"/>
    </xf>
    <xf numFmtId="177" fontId="30" fillId="3" borderId="0" xfId="1" applyNumberFormat="1" applyFont="1" applyFill="1" applyBorder="1" applyAlignment="1">
      <alignment horizontal="right" vertical="center"/>
    </xf>
    <xf numFmtId="164" fontId="30" fillId="0" borderId="0" xfId="0" applyNumberFormat="1" applyFont="1" applyFill="1" applyBorder="1" applyAlignment="1">
      <alignment horizontal="right" vertical="center"/>
    </xf>
    <xf numFmtId="169" fontId="30" fillId="0" borderId="0" xfId="1" applyNumberFormat="1" applyFont="1" applyFill="1" applyBorder="1" applyAlignment="1">
      <alignment horizontal="right" vertical="center"/>
    </xf>
    <xf numFmtId="179" fontId="30" fillId="0" borderId="0" xfId="1" applyNumberFormat="1" applyFont="1" applyFill="1" applyBorder="1" applyAlignment="1">
      <alignment horizontal="right" vertical="center"/>
    </xf>
    <xf numFmtId="179" fontId="23" fillId="3" borderId="0" xfId="0" applyNumberFormat="1" applyFont="1" applyFill="1" applyAlignment="1">
      <alignment vertical="center"/>
    </xf>
    <xf numFmtId="178" fontId="30" fillId="0" borderId="0" xfId="1" applyNumberFormat="1" applyFont="1" applyFill="1" applyBorder="1" applyAlignment="1">
      <alignment horizontal="right" vertical="center"/>
    </xf>
    <xf numFmtId="187" fontId="30" fillId="0" borderId="0" xfId="1" applyNumberFormat="1" applyFont="1" applyFill="1" applyBorder="1" applyAlignment="1">
      <alignment horizontal="right" vertical="center"/>
    </xf>
    <xf numFmtId="169" fontId="30" fillId="3" borderId="0" xfId="0" applyNumberFormat="1" applyFont="1" applyFill="1" applyBorder="1" applyAlignment="1">
      <alignment horizontal="right" vertical="center"/>
    </xf>
    <xf numFmtId="175" fontId="23" fillId="0" borderId="0" xfId="0" applyNumberFormat="1" applyFont="1" applyFill="1" applyBorder="1" applyAlignment="1">
      <alignment vertical="center"/>
    </xf>
    <xf numFmtId="167" fontId="45" fillId="3" borderId="0" xfId="0" applyNumberFormat="1" applyFont="1" applyFill="1" applyBorder="1" applyAlignment="1">
      <alignment horizontal="right" vertical="center"/>
    </xf>
    <xf numFmtId="164" fontId="45" fillId="3" borderId="0" xfId="0" applyNumberFormat="1" applyFont="1" applyFill="1" applyBorder="1" applyAlignment="1">
      <alignment horizontal="right" vertical="center"/>
    </xf>
    <xf numFmtId="168" fontId="27" fillId="0" borderId="0" xfId="0" applyNumberFormat="1" applyFont="1" applyFill="1" applyAlignment="1">
      <alignment horizontal="right" vertical="center"/>
    </xf>
    <xf numFmtId="168" fontId="45" fillId="3" borderId="0" xfId="0" applyNumberFormat="1" applyFont="1" applyFill="1" applyBorder="1" applyAlignment="1">
      <alignment horizontal="right" vertical="center"/>
    </xf>
    <xf numFmtId="168" fontId="45" fillId="0" borderId="0" xfId="0" applyNumberFormat="1" applyFont="1" applyFill="1" applyBorder="1" applyAlignment="1">
      <alignment horizontal="right" vertical="center"/>
    </xf>
    <xf numFmtId="169" fontId="45" fillId="0" borderId="0" xfId="0" applyNumberFormat="1" applyFont="1" applyFill="1" applyBorder="1" applyAlignment="1">
      <alignment horizontal="right" vertical="center"/>
    </xf>
    <xf numFmtId="169" fontId="45" fillId="3" borderId="0" xfId="0" applyNumberFormat="1" applyFont="1" applyFill="1" applyBorder="1" applyAlignment="1">
      <alignment horizontal="right" vertical="center"/>
    </xf>
    <xf numFmtId="169" fontId="27" fillId="0" borderId="0" xfId="0" applyNumberFormat="1" applyFont="1" applyFill="1" applyAlignment="1">
      <alignment horizontal="right" vertical="center"/>
    </xf>
    <xf numFmtId="187" fontId="30" fillId="3" borderId="0" xfId="0" applyNumberFormat="1" applyFont="1" applyFill="1" applyBorder="1" applyAlignment="1">
      <alignment horizontal="right" vertical="center"/>
    </xf>
    <xf numFmtId="187" fontId="23" fillId="0" borderId="0" xfId="0" applyNumberFormat="1" applyFont="1" applyFill="1" applyAlignment="1">
      <alignment horizontal="right" vertical="center"/>
    </xf>
    <xf numFmtId="187" fontId="30" fillId="0" borderId="0" xfId="0" applyNumberFormat="1" applyFont="1" applyFill="1" applyBorder="1" applyAlignment="1">
      <alignment horizontal="right" vertical="center"/>
    </xf>
    <xf numFmtId="187" fontId="23" fillId="0" borderId="0" xfId="0" applyNumberFormat="1" applyFont="1" applyFill="1" applyBorder="1" applyAlignment="1">
      <alignment vertical="center"/>
    </xf>
    <xf numFmtId="0" fontId="46" fillId="0" borderId="7" xfId="0" applyFont="1" applyFill="1" applyBorder="1" applyAlignment="1">
      <alignment horizontal="left" vertical="center" indent="3"/>
    </xf>
    <xf numFmtId="187" fontId="47" fillId="3" borderId="0" xfId="0" applyNumberFormat="1" applyFont="1" applyFill="1" applyBorder="1" applyAlignment="1">
      <alignment horizontal="right" vertical="center"/>
    </xf>
    <xf numFmtId="187" fontId="48" fillId="3" borderId="0" xfId="0" applyNumberFormat="1" applyFont="1" applyFill="1" applyAlignment="1">
      <alignment horizontal="right" vertical="center"/>
    </xf>
    <xf numFmtId="187" fontId="48" fillId="0" borderId="0" xfId="0" applyNumberFormat="1" applyFont="1" applyFill="1" applyAlignment="1">
      <alignment horizontal="right" vertical="center"/>
    </xf>
    <xf numFmtId="187" fontId="47" fillId="0" borderId="0" xfId="0" applyNumberFormat="1" applyFont="1" applyFill="1" applyBorder="1" applyAlignment="1">
      <alignment horizontal="right" vertical="center"/>
    </xf>
    <xf numFmtId="187" fontId="48" fillId="0" borderId="0" xfId="0" applyNumberFormat="1" applyFont="1" applyFill="1" applyAlignment="1">
      <alignment vertical="center"/>
    </xf>
    <xf numFmtId="187" fontId="48" fillId="3" borderId="0" xfId="0" applyNumberFormat="1" applyFont="1" applyFill="1" applyAlignment="1">
      <alignment vertical="center"/>
    </xf>
    <xf numFmtId="187" fontId="48" fillId="0" borderId="0" xfId="0" applyNumberFormat="1" applyFont="1" applyFill="1" applyBorder="1" applyAlignment="1">
      <alignment vertical="center"/>
    </xf>
    <xf numFmtId="178" fontId="48" fillId="3" borderId="0" xfId="0" applyNumberFormat="1" applyFont="1" applyFill="1" applyAlignment="1">
      <alignment vertical="center"/>
    </xf>
    <xf numFmtId="179" fontId="48" fillId="0" borderId="0" xfId="0" applyNumberFormat="1" applyFont="1" applyFill="1" applyAlignment="1">
      <alignment vertical="center"/>
    </xf>
    <xf numFmtId="0" fontId="48" fillId="0" borderId="0" xfId="0" applyFont="1" applyAlignment="1">
      <alignment vertical="center"/>
    </xf>
    <xf numFmtId="168" fontId="23" fillId="3" borderId="0" xfId="0" applyNumberFormat="1" applyFont="1" applyFill="1" applyBorder="1" applyAlignment="1">
      <alignment horizontal="right" vertical="center"/>
    </xf>
    <xf numFmtId="176" fontId="30" fillId="3" borderId="0" xfId="0" applyNumberFormat="1" applyFont="1" applyFill="1" applyBorder="1" applyAlignment="1">
      <alignment horizontal="right" vertical="center"/>
    </xf>
    <xf numFmtId="176" fontId="45" fillId="3" borderId="0" xfId="0" applyNumberFormat="1" applyFont="1" applyFill="1" applyBorder="1" applyAlignment="1">
      <alignment horizontal="right" vertical="center"/>
    </xf>
    <xf numFmtId="168" fontId="47" fillId="3" borderId="0" xfId="0" applyNumberFormat="1" applyFont="1" applyFill="1" applyBorder="1" applyAlignment="1">
      <alignment horizontal="right" vertical="center"/>
    </xf>
    <xf numFmtId="168" fontId="48" fillId="3" borderId="0" xfId="0" applyNumberFormat="1" applyFont="1" applyFill="1" applyBorder="1" applyAlignment="1">
      <alignment horizontal="right" vertical="center"/>
    </xf>
    <xf numFmtId="168" fontId="48" fillId="3" borderId="0" xfId="0" applyNumberFormat="1" applyFont="1" applyFill="1" applyAlignment="1">
      <alignment horizontal="right" vertical="center"/>
    </xf>
    <xf numFmtId="168" fontId="48" fillId="0" borderId="0" xfId="0" applyNumberFormat="1" applyFont="1" applyFill="1" applyAlignment="1">
      <alignment horizontal="right" vertical="center"/>
    </xf>
    <xf numFmtId="168" fontId="47" fillId="0" borderId="0" xfId="0" applyNumberFormat="1" applyFont="1" applyFill="1" applyBorder="1" applyAlignment="1">
      <alignment horizontal="right" vertical="center"/>
    </xf>
    <xf numFmtId="169" fontId="47" fillId="0" borderId="0" xfId="0" applyNumberFormat="1" applyFont="1" applyFill="1" applyBorder="1" applyAlignment="1">
      <alignment horizontal="right" vertical="center"/>
    </xf>
    <xf numFmtId="169" fontId="48" fillId="0" borderId="0" xfId="0" applyNumberFormat="1" applyFont="1" applyFill="1" applyAlignment="1">
      <alignment vertical="center"/>
    </xf>
    <xf numFmtId="169" fontId="48" fillId="3" borderId="0" xfId="0" applyNumberFormat="1" applyFont="1" applyFill="1" applyAlignment="1">
      <alignment vertical="center"/>
    </xf>
    <xf numFmtId="173" fontId="48" fillId="0" borderId="0" xfId="0" applyNumberFormat="1" applyFont="1" applyFill="1" applyBorder="1" applyAlignment="1">
      <alignment vertical="center"/>
    </xf>
    <xf numFmtId="178" fontId="48" fillId="0" borderId="0" xfId="0" applyNumberFormat="1" applyFont="1" applyFill="1" applyAlignment="1">
      <alignment vertical="center"/>
    </xf>
    <xf numFmtId="173" fontId="30" fillId="0" borderId="0" xfId="0" applyNumberFormat="1" applyFont="1" applyFill="1" applyBorder="1" applyAlignment="1">
      <alignment horizontal="right" vertical="center"/>
    </xf>
    <xf numFmtId="168" fontId="44" fillId="10" borderId="11" xfId="0" applyNumberFormat="1" applyFont="1" applyFill="1" applyBorder="1" applyAlignment="1">
      <alignment horizontal="right" vertical="center"/>
    </xf>
    <xf numFmtId="168" fontId="44" fillId="9" borderId="11" xfId="0" applyNumberFormat="1" applyFont="1" applyFill="1" applyBorder="1" applyAlignment="1">
      <alignment horizontal="right" vertical="center"/>
    </xf>
    <xf numFmtId="169" fontId="12" fillId="9" borderId="11" xfId="0" applyNumberFormat="1" applyFont="1" applyFill="1" applyBorder="1" applyAlignment="1">
      <alignment vertical="center"/>
    </xf>
    <xf numFmtId="169" fontId="12" fillId="10" borderId="11" xfId="0" applyNumberFormat="1" applyFont="1" applyFill="1" applyBorder="1" applyAlignment="1">
      <alignment vertical="center"/>
    </xf>
    <xf numFmtId="173" fontId="12" fillId="9" borderId="11" xfId="0" applyNumberFormat="1" applyFont="1" applyFill="1" applyBorder="1" applyAlignment="1">
      <alignment vertical="center"/>
    </xf>
    <xf numFmtId="178" fontId="12" fillId="10" borderId="11" xfId="0" applyNumberFormat="1" applyFont="1" applyFill="1" applyBorder="1" applyAlignment="1">
      <alignment vertical="center"/>
    </xf>
    <xf numFmtId="178" fontId="12" fillId="9" borderId="11" xfId="0" applyNumberFormat="1" applyFont="1" applyFill="1" applyBorder="1" applyAlignment="1">
      <alignment vertical="center"/>
    </xf>
    <xf numFmtId="187" fontId="12" fillId="10" borderId="11" xfId="0" applyNumberFormat="1" applyFont="1" applyFill="1" applyBorder="1" applyAlignment="1">
      <alignment vertical="center"/>
    </xf>
    <xf numFmtId="187" fontId="12" fillId="9" borderId="11" xfId="0" applyNumberFormat="1" applyFont="1" applyFill="1" applyBorder="1" applyAlignment="1">
      <alignment vertical="center"/>
    </xf>
    <xf numFmtId="168" fontId="29" fillId="10" borderId="11" xfId="0" applyNumberFormat="1" applyFont="1" applyFill="1" applyBorder="1" applyAlignment="1">
      <alignment horizontal="right" vertical="center"/>
    </xf>
    <xf numFmtId="168" fontId="29" fillId="9" borderId="11" xfId="0" applyNumberFormat="1" applyFont="1" applyFill="1" applyBorder="1" applyAlignment="1">
      <alignment horizontal="right" vertical="center"/>
    </xf>
    <xf numFmtId="169" fontId="26" fillId="9" borderId="11" xfId="0" applyNumberFormat="1" applyFont="1" applyFill="1" applyBorder="1" applyAlignment="1">
      <alignment vertical="center"/>
    </xf>
    <xf numFmtId="169" fontId="26" fillId="10" borderId="11" xfId="0" applyNumberFormat="1" applyFont="1" applyFill="1" applyBorder="1" applyAlignment="1">
      <alignment vertical="center"/>
    </xf>
    <xf numFmtId="173" fontId="26" fillId="9" borderId="11" xfId="0" applyNumberFormat="1" applyFont="1" applyFill="1" applyBorder="1" applyAlignment="1">
      <alignment vertical="center"/>
    </xf>
    <xf numFmtId="178" fontId="26" fillId="10" borderId="11" xfId="0" applyNumberFormat="1" applyFont="1" applyFill="1" applyBorder="1" applyAlignment="1">
      <alignment vertical="center"/>
    </xf>
    <xf numFmtId="178" fontId="26" fillId="9" borderId="11" xfId="0" applyNumberFormat="1" applyFont="1" applyFill="1" applyBorder="1" applyAlignment="1">
      <alignment vertical="center"/>
    </xf>
    <xf numFmtId="187" fontId="26" fillId="10" borderId="11" xfId="0" applyNumberFormat="1" applyFont="1" applyFill="1" applyBorder="1" applyAlignment="1">
      <alignment vertical="center"/>
    </xf>
    <xf numFmtId="187" fontId="26" fillId="9" borderId="11" xfId="0" applyNumberFormat="1" applyFont="1" applyFill="1" applyBorder="1" applyAlignment="1">
      <alignment vertical="center"/>
    </xf>
    <xf numFmtId="180" fontId="23" fillId="3" borderId="0" xfId="0" applyNumberFormat="1" applyFont="1" applyFill="1" applyAlignment="1">
      <alignment vertical="center"/>
    </xf>
    <xf numFmtId="180" fontId="23" fillId="0" borderId="0" xfId="0" applyNumberFormat="1" applyFont="1" applyFill="1" applyAlignment="1">
      <alignment vertical="center"/>
    </xf>
    <xf numFmtId="183" fontId="23" fillId="3" borderId="0" xfId="0" applyNumberFormat="1" applyFont="1" applyFill="1" applyAlignment="1">
      <alignment vertical="center"/>
    </xf>
    <xf numFmtId="183" fontId="23" fillId="0" borderId="0" xfId="0" applyNumberFormat="1" applyFont="1" applyFill="1" applyAlignment="1">
      <alignment vertical="center"/>
    </xf>
    <xf numFmtId="187" fontId="26" fillId="3" borderId="0" xfId="0" applyNumberFormat="1" applyFont="1" applyFill="1" applyAlignment="1">
      <alignment vertical="center"/>
    </xf>
    <xf numFmtId="171" fontId="27" fillId="3" borderId="0" xfId="0" applyNumberFormat="1" applyFont="1" applyFill="1" applyAlignment="1">
      <alignment horizontal="right" vertical="center"/>
    </xf>
    <xf numFmtId="166" fontId="23" fillId="0" borderId="0" xfId="0" applyNumberFormat="1" applyFont="1" applyFill="1" applyAlignment="1">
      <alignment horizontal="right" vertical="center"/>
    </xf>
    <xf numFmtId="172" fontId="27" fillId="3" borderId="0" xfId="0" applyNumberFormat="1" applyFont="1" applyFill="1" applyAlignment="1">
      <alignment horizontal="right" vertical="center"/>
    </xf>
    <xf numFmtId="168" fontId="27" fillId="3" borderId="0" xfId="0" applyNumberFormat="1" applyFont="1" applyFill="1" applyAlignment="1">
      <alignment horizontal="right" vertical="center"/>
    </xf>
    <xf numFmtId="171" fontId="27" fillId="0" borderId="0" xfId="0" applyNumberFormat="1" applyFont="1" applyFill="1" applyAlignment="1">
      <alignment horizontal="right" vertical="center"/>
    </xf>
    <xf numFmtId="172" fontId="27" fillId="0" borderId="0" xfId="0" applyNumberFormat="1" applyFont="1" applyFill="1" applyAlignment="1">
      <alignment horizontal="right" vertical="center"/>
    </xf>
    <xf numFmtId="166" fontId="23" fillId="3" borderId="0" xfId="0" applyNumberFormat="1" applyFont="1" applyFill="1" applyAlignment="1">
      <alignment horizontal="right" vertical="center"/>
    </xf>
    <xf numFmtId="166" fontId="27" fillId="0" borderId="0" xfId="0" applyNumberFormat="1" applyFont="1" applyFill="1" applyAlignment="1">
      <alignment horizontal="right" vertical="center"/>
    </xf>
    <xf numFmtId="166" fontId="23" fillId="3" borderId="0" xfId="0" applyNumberFormat="1" applyFont="1" applyFill="1" applyAlignment="1">
      <alignment vertical="center"/>
    </xf>
    <xf numFmtId="166" fontId="23" fillId="0" borderId="0" xfId="0" applyNumberFormat="1" applyFont="1" applyFill="1" applyAlignment="1">
      <alignment vertical="center"/>
    </xf>
    <xf numFmtId="173" fontId="23" fillId="0" borderId="0" xfId="0" applyNumberFormat="1" applyFont="1" applyFill="1" applyAlignment="1">
      <alignment horizontal="right" vertical="center"/>
    </xf>
    <xf numFmtId="173" fontId="23" fillId="3" borderId="0" xfId="0" applyNumberFormat="1" applyFont="1" applyFill="1" applyAlignment="1">
      <alignment vertical="center"/>
    </xf>
    <xf numFmtId="173" fontId="23" fillId="0" borderId="0" xfId="0" applyNumberFormat="1" applyFont="1" applyFill="1" applyAlignment="1">
      <alignment vertical="center"/>
    </xf>
    <xf numFmtId="169" fontId="23" fillId="0" borderId="0" xfId="0" applyNumberFormat="1" applyFont="1" applyFill="1" applyAlignment="1">
      <alignment horizontal="right" vertical="center"/>
    </xf>
    <xf numFmtId="181" fontId="23" fillId="3" borderId="0" xfId="0" applyNumberFormat="1" applyFont="1" applyFill="1" applyAlignment="1">
      <alignment vertical="center"/>
    </xf>
    <xf numFmtId="178" fontId="23" fillId="0" borderId="0" xfId="0" applyNumberFormat="1" applyFont="1" applyFill="1" applyAlignment="1">
      <alignment horizontal="right" vertical="center"/>
    </xf>
    <xf numFmtId="185" fontId="23" fillId="3" borderId="0" xfId="0" applyNumberFormat="1" applyFont="1" applyFill="1" applyAlignment="1">
      <alignment vertical="center"/>
    </xf>
    <xf numFmtId="187" fontId="23" fillId="3" borderId="0" xfId="0" applyNumberFormat="1" applyFont="1" applyFill="1" applyBorder="1" applyAlignment="1">
      <alignment horizontal="right" vertical="center"/>
    </xf>
    <xf numFmtId="187" fontId="23" fillId="3" borderId="0" xfId="0" applyNumberFormat="1" applyFont="1" applyFill="1" applyAlignment="1">
      <alignment horizontal="right" vertical="center"/>
    </xf>
    <xf numFmtId="164" fontId="45" fillId="0" borderId="0" xfId="0" applyNumberFormat="1" applyFont="1" applyFill="1" applyBorder="1" applyAlignment="1">
      <alignment horizontal="right" vertical="center"/>
    </xf>
    <xf numFmtId="183" fontId="48" fillId="3" borderId="0" xfId="0" applyNumberFormat="1" applyFont="1" applyFill="1" applyAlignment="1">
      <alignment vertical="center"/>
    </xf>
    <xf numFmtId="183" fontId="48" fillId="0" borderId="0" xfId="0" applyNumberFormat="1" applyFont="1" applyFill="1" applyAlignment="1">
      <alignment vertical="center"/>
    </xf>
    <xf numFmtId="178" fontId="48" fillId="0" borderId="0" xfId="0" applyNumberFormat="1" applyFont="1" applyFill="1" applyBorder="1" applyAlignment="1">
      <alignment vertical="center"/>
    </xf>
    <xf numFmtId="187" fontId="27" fillId="3" borderId="0" xfId="0" applyNumberFormat="1" applyFont="1" applyFill="1" applyAlignment="1">
      <alignment horizontal="right" vertical="center"/>
    </xf>
    <xf numFmtId="0" fontId="23" fillId="0" borderId="0" xfId="0" applyFont="1" applyFill="1" applyBorder="1" applyAlignment="1">
      <alignment horizontal="left" vertical="center"/>
    </xf>
    <xf numFmtId="0" fontId="49" fillId="0" borderId="7" xfId="0" applyFont="1" applyFill="1" applyBorder="1" applyAlignment="1">
      <alignment horizontal="left" vertical="center" indent="3"/>
    </xf>
    <xf numFmtId="0" fontId="4" fillId="5" borderId="0" xfId="0" applyFont="1" applyFill="1" applyAlignment="1">
      <alignment horizontal="left"/>
    </xf>
    <xf numFmtId="0" fontId="28" fillId="9" borderId="11" xfId="0" applyFont="1" applyFill="1" applyBorder="1" applyAlignment="1">
      <alignment vertical="center" wrapText="1"/>
    </xf>
    <xf numFmtId="0" fontId="34" fillId="9" borderId="11" xfId="0" applyFont="1" applyFill="1" applyBorder="1" applyAlignment="1">
      <alignment vertical="center" wrapText="1"/>
    </xf>
    <xf numFmtId="0" fontId="24" fillId="0" borderId="8" xfId="0" applyFont="1" applyFill="1" applyBorder="1" applyAlignment="1">
      <alignment horizontal="left" vertical="center"/>
    </xf>
    <xf numFmtId="0" fontId="23" fillId="3" borderId="0" xfId="0" applyFont="1" applyFill="1" applyBorder="1" applyAlignment="1">
      <alignment vertical="center"/>
    </xf>
    <xf numFmtId="0" fontId="26" fillId="9" borderId="11" xfId="0" applyFont="1" applyFill="1" applyBorder="1" applyAlignment="1">
      <alignment horizontal="left" vertical="center"/>
    </xf>
    <xf numFmtId="169" fontId="29" fillId="10" borderId="11" xfId="0" applyNumberFormat="1" applyFont="1" applyFill="1" applyBorder="1" applyAlignment="1">
      <alignment horizontal="right" vertical="center"/>
    </xf>
    <xf numFmtId="166" fontId="29" fillId="9" borderId="11" xfId="0" applyNumberFormat="1" applyFont="1" applyFill="1" applyBorder="1" applyAlignment="1">
      <alignment horizontal="right" vertical="center"/>
    </xf>
    <xf numFmtId="166" fontId="29" fillId="10" borderId="11" xfId="0" applyNumberFormat="1" applyFont="1" applyFill="1" applyBorder="1" applyAlignment="1">
      <alignment horizontal="right" vertical="center"/>
    </xf>
    <xf numFmtId="173" fontId="29" fillId="9" borderId="11" xfId="0" applyNumberFormat="1" applyFont="1" applyFill="1" applyBorder="1" applyAlignment="1">
      <alignment horizontal="right" vertical="center"/>
    </xf>
    <xf numFmtId="173" fontId="29" fillId="10" borderId="11" xfId="0" applyNumberFormat="1" applyFont="1" applyFill="1" applyBorder="1" applyAlignment="1">
      <alignment horizontal="right" vertical="center"/>
    </xf>
    <xf numFmtId="187" fontId="29" fillId="10" borderId="11" xfId="0" applyNumberFormat="1" applyFont="1" applyFill="1" applyBorder="1" applyAlignment="1">
      <alignment horizontal="right" vertical="center"/>
    </xf>
    <xf numFmtId="187" fontId="29" fillId="9" borderId="11" xfId="0" applyNumberFormat="1" applyFont="1" applyFill="1" applyBorder="1" applyAlignment="1">
      <alignment horizontal="right" vertical="center"/>
    </xf>
    <xf numFmtId="169" fontId="29" fillId="10" borderId="11" xfId="0" applyNumberFormat="1" applyFont="1" applyFill="1" applyBorder="1" applyAlignment="1">
      <alignment vertical="center"/>
    </xf>
    <xf numFmtId="166" fontId="26" fillId="10" borderId="11" xfId="0" applyNumberFormat="1" applyFont="1" applyFill="1" applyBorder="1" applyAlignment="1">
      <alignment vertical="center"/>
    </xf>
    <xf numFmtId="166" fontId="26" fillId="9" borderId="11" xfId="0" applyNumberFormat="1" applyFont="1" applyFill="1" applyBorder="1" applyAlignment="1">
      <alignment vertical="center"/>
    </xf>
    <xf numFmtId="173" fontId="26" fillId="10" borderId="11" xfId="0" applyNumberFormat="1" applyFont="1" applyFill="1" applyBorder="1" applyAlignment="1">
      <alignment vertical="center"/>
    </xf>
    <xf numFmtId="168" fontId="26" fillId="10" borderId="11" xfId="0" applyNumberFormat="1" applyFont="1" applyFill="1" applyBorder="1" applyAlignment="1">
      <alignment horizontal="right" vertical="center"/>
    </xf>
    <xf numFmtId="168" fontId="26" fillId="9" borderId="11" xfId="0" applyNumberFormat="1" applyFont="1" applyFill="1" applyBorder="1" applyAlignment="1">
      <alignment horizontal="right" vertical="center"/>
    </xf>
    <xf numFmtId="166" fontId="26" fillId="9" borderId="11" xfId="0" applyNumberFormat="1" applyFont="1" applyFill="1" applyBorder="1" applyAlignment="1">
      <alignment horizontal="right" vertical="center"/>
    </xf>
    <xf numFmtId="166" fontId="26" fillId="10" borderId="11" xfId="0" applyNumberFormat="1" applyFont="1" applyFill="1" applyBorder="1" applyAlignment="1">
      <alignment horizontal="right" vertical="center"/>
    </xf>
    <xf numFmtId="0" fontId="12" fillId="9" borderId="11" xfId="0" applyFont="1" applyFill="1" applyBorder="1" applyAlignment="1">
      <alignment horizontal="left" vertical="center"/>
    </xf>
    <xf numFmtId="168" fontId="12" fillId="10" borderId="11" xfId="0" applyNumberFormat="1" applyFont="1" applyFill="1" applyBorder="1" applyAlignment="1">
      <alignment horizontal="right" vertical="center"/>
    </xf>
    <xf numFmtId="168" fontId="12" fillId="9" borderId="11" xfId="0" applyNumberFormat="1" applyFont="1" applyFill="1" applyBorder="1" applyAlignment="1">
      <alignment horizontal="right" vertical="center"/>
    </xf>
    <xf numFmtId="166" fontId="12" fillId="9" borderId="11" xfId="0" applyNumberFormat="1" applyFont="1" applyFill="1" applyBorder="1" applyAlignment="1">
      <alignment horizontal="right" vertical="center"/>
    </xf>
    <xf numFmtId="166" fontId="12" fillId="10" borderId="11" xfId="0" applyNumberFormat="1" applyFont="1" applyFill="1" applyBorder="1" applyAlignment="1">
      <alignment horizontal="right" vertical="center"/>
    </xf>
    <xf numFmtId="166" fontId="12" fillId="10" borderId="11" xfId="0" applyNumberFormat="1" applyFont="1" applyFill="1" applyBorder="1" applyAlignment="1">
      <alignment vertical="center"/>
    </xf>
    <xf numFmtId="166" fontId="12" fillId="9" borderId="11" xfId="0" applyNumberFormat="1" applyFont="1" applyFill="1" applyBorder="1" applyAlignment="1">
      <alignment vertical="center"/>
    </xf>
    <xf numFmtId="173" fontId="12" fillId="10" borderId="11" xfId="0" applyNumberFormat="1" applyFont="1" applyFill="1" applyBorder="1" applyAlignment="1">
      <alignment vertical="center"/>
    </xf>
    <xf numFmtId="0" fontId="23" fillId="0" borderId="7" xfId="0" applyFont="1" applyFill="1" applyBorder="1" applyAlignment="1">
      <alignment horizontal="left" vertical="center"/>
    </xf>
    <xf numFmtId="0" fontId="26" fillId="9" borderId="10" xfId="0" applyFont="1" applyFill="1" applyBorder="1" applyAlignment="1">
      <alignment horizontal="left" vertical="center"/>
    </xf>
    <xf numFmtId="0" fontId="12" fillId="9" borderId="10" xfId="0" applyFont="1" applyFill="1" applyBorder="1" applyAlignment="1">
      <alignment horizontal="left" vertical="center"/>
    </xf>
    <xf numFmtId="0" fontId="4" fillId="5" borderId="0" xfId="0" applyFont="1" applyFill="1" applyAlignment="1">
      <alignment vertical="center" wrapText="1"/>
    </xf>
    <xf numFmtId="0" fontId="19" fillId="5" borderId="0" xfId="0" applyFont="1" applyFill="1" applyBorder="1" applyAlignment="1">
      <alignment vertical="center"/>
    </xf>
    <xf numFmtId="0" fontId="19" fillId="5" borderId="7" xfId="0" applyFont="1" applyFill="1" applyBorder="1" applyAlignment="1">
      <alignment vertical="center"/>
    </xf>
    <xf numFmtId="0" fontId="50" fillId="0" borderId="11" xfId="0" applyFont="1" applyFill="1" applyBorder="1" applyAlignment="1">
      <alignment vertical="center" wrapText="1"/>
    </xf>
    <xf numFmtId="0" fontId="50" fillId="0" borderId="10" xfId="0" applyFont="1" applyFill="1" applyBorder="1" applyAlignment="1">
      <alignment vertical="center" wrapText="1"/>
    </xf>
    <xf numFmtId="0" fontId="51" fillId="5" borderId="14" xfId="0" applyFont="1" applyFill="1" applyBorder="1" applyAlignment="1">
      <alignment vertical="center" wrapText="1"/>
    </xf>
    <xf numFmtId="0" fontId="51" fillId="5" borderId="8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87" fontId="16" fillId="0" borderId="0" xfId="0" applyNumberFormat="1" applyFont="1" applyFill="1" applyAlignment="1">
      <alignment horizontal="right" vertical="center"/>
    </xf>
    <xf numFmtId="188" fontId="7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1" fillId="5" borderId="0" xfId="0" applyFont="1" applyFill="1" applyBorder="1" applyAlignment="1">
      <alignment vertical="center" wrapText="1"/>
    </xf>
    <xf numFmtId="0" fontId="51" fillId="5" borderId="7" xfId="0" applyFont="1" applyFill="1" applyBorder="1" applyAlignment="1">
      <alignment vertical="center" wrapText="1"/>
    </xf>
    <xf numFmtId="188" fontId="5" fillId="10" borderId="11" xfId="0" applyNumberFormat="1" applyFont="1" applyFill="1" applyBorder="1" applyAlignment="1">
      <alignment horizontal="right" vertical="center"/>
    </xf>
    <xf numFmtId="188" fontId="5" fillId="9" borderId="11" xfId="0" applyNumberFormat="1" applyFont="1" applyFill="1" applyBorder="1" applyAlignment="1">
      <alignment horizontal="right" vertical="center"/>
    </xf>
    <xf numFmtId="188" fontId="5" fillId="9" borderId="11" xfId="0" applyNumberFormat="1" applyFont="1" applyFill="1" applyBorder="1" applyAlignment="1">
      <alignment vertical="center"/>
    </xf>
    <xf numFmtId="188" fontId="5" fillId="10" borderId="11" xfId="0" applyNumberFormat="1" applyFont="1" applyFill="1" applyBorder="1" applyAlignment="1">
      <alignment vertical="center"/>
    </xf>
    <xf numFmtId="188" fontId="5" fillId="10" borderId="11" xfId="0" applyNumberFormat="1" applyFont="1" applyFill="1" applyBorder="1"/>
    <xf numFmtId="188" fontId="5" fillId="9" borderId="11" xfId="0" applyNumberFormat="1" applyFont="1" applyFill="1" applyBorder="1"/>
    <xf numFmtId="187" fontId="5" fillId="9" borderId="11" xfId="0" applyNumberFormat="1" applyFont="1" applyFill="1" applyBorder="1"/>
    <xf numFmtId="187" fontId="5" fillId="10" borderId="11" xfId="0" applyNumberFormat="1" applyFont="1" applyFill="1" applyBorder="1"/>
    <xf numFmtId="188" fontId="5" fillId="10" borderId="11" xfId="0" applyNumberFormat="1" applyFont="1" applyFill="1" applyBorder="1" applyAlignment="1">
      <alignment horizontal="right"/>
    </xf>
    <xf numFmtId="188" fontId="5" fillId="9" borderId="11" xfId="0" applyNumberFormat="1" applyFont="1" applyFill="1" applyBorder="1" applyAlignment="1">
      <alignment horizontal="right"/>
    </xf>
    <xf numFmtId="188" fontId="6" fillId="10" borderId="11" xfId="0" applyNumberFormat="1" applyFont="1" applyFill="1" applyBorder="1" applyAlignment="1">
      <alignment horizontal="right"/>
    </xf>
    <xf numFmtId="188" fontId="6" fillId="9" borderId="11" xfId="0" applyNumberFormat="1" applyFont="1" applyFill="1" applyBorder="1" applyAlignment="1">
      <alignment horizontal="right"/>
    </xf>
    <xf numFmtId="0" fontId="23" fillId="0" borderId="0" xfId="0" applyFont="1" applyAlignment="1">
      <alignment horizontal="center" vertical="center"/>
    </xf>
    <xf numFmtId="170" fontId="23" fillId="3" borderId="0" xfId="3" applyNumberFormat="1" applyFont="1" applyFill="1" applyBorder="1" applyAlignment="1">
      <alignment horizontal="center" vertical="center"/>
    </xf>
    <xf numFmtId="170" fontId="23" fillId="3" borderId="2" xfId="3" applyNumberFormat="1" applyFont="1" applyFill="1" applyBorder="1" applyAlignment="1">
      <alignment horizontal="center" vertical="center"/>
    </xf>
    <xf numFmtId="170" fontId="23" fillId="3" borderId="5" xfId="3" applyNumberFormat="1" applyFont="1" applyFill="1" applyBorder="1" applyAlignment="1">
      <alignment horizontal="center" vertical="center"/>
    </xf>
    <xf numFmtId="170" fontId="23" fillId="0" borderId="0" xfId="3" applyNumberFormat="1" applyFont="1" applyFill="1" applyBorder="1" applyAlignment="1">
      <alignment horizontal="center" vertical="center"/>
    </xf>
    <xf numFmtId="0" fontId="23" fillId="0" borderId="2" xfId="0" applyFont="1" applyBorder="1" applyAlignment="1">
      <alignment horizontal="left" vertical="center"/>
    </xf>
    <xf numFmtId="170" fontId="23" fillId="0" borderId="2" xfId="3" applyNumberFormat="1" applyFont="1" applyFill="1" applyBorder="1" applyAlignment="1">
      <alignment horizontal="center" vertical="center"/>
    </xf>
    <xf numFmtId="170" fontId="23" fillId="0" borderId="4" xfId="3" applyNumberFormat="1" applyFont="1" applyFill="1" applyBorder="1" applyAlignment="1">
      <alignment horizontal="center" vertical="center"/>
    </xf>
    <xf numFmtId="0" fontId="23" fillId="0" borderId="2" xfId="0" applyFont="1" applyBorder="1" applyAlignment="1">
      <alignment vertical="center"/>
    </xf>
    <xf numFmtId="167" fontId="23" fillId="3" borderId="0" xfId="3" applyNumberFormat="1" applyFont="1" applyFill="1" applyBorder="1" applyAlignment="1">
      <alignment horizontal="center" vertical="center"/>
    </xf>
    <xf numFmtId="167" fontId="23" fillId="3" borderId="2" xfId="3" applyNumberFormat="1" applyFont="1" applyFill="1" applyBorder="1" applyAlignment="1">
      <alignment horizontal="center" vertical="center"/>
    </xf>
    <xf numFmtId="167" fontId="23" fillId="3" borderId="5" xfId="3" applyNumberFormat="1" applyFont="1" applyFill="1" applyBorder="1" applyAlignment="1">
      <alignment horizontal="center" vertical="center"/>
    </xf>
    <xf numFmtId="167" fontId="23" fillId="0" borderId="2" xfId="3" applyNumberFormat="1" applyFont="1" applyFill="1" applyBorder="1" applyAlignment="1">
      <alignment horizontal="center" vertical="center"/>
    </xf>
    <xf numFmtId="167" fontId="23" fillId="0" borderId="0" xfId="3" applyNumberFormat="1" applyFont="1" applyFill="1" applyBorder="1" applyAlignment="1">
      <alignment horizontal="center" vertical="center"/>
    </xf>
    <xf numFmtId="167" fontId="23" fillId="0" borderId="4" xfId="3" applyNumberFormat="1" applyFont="1" applyFill="1" applyBorder="1" applyAlignment="1">
      <alignment horizontal="center" vertical="center"/>
    </xf>
    <xf numFmtId="0" fontId="40" fillId="5" borderId="10" xfId="0" applyFont="1" applyFill="1" applyBorder="1" applyAlignment="1">
      <alignment vertical="center" wrapText="1"/>
    </xf>
    <xf numFmtId="0" fontId="26" fillId="4" borderId="11" xfId="0" applyFont="1" applyFill="1" applyBorder="1" applyAlignment="1">
      <alignment horizontal="center" vertical="center"/>
    </xf>
    <xf numFmtId="0" fontId="26" fillId="4" borderId="23" xfId="0" applyFont="1" applyFill="1" applyBorder="1" applyAlignment="1">
      <alignment horizontal="center" vertical="center"/>
    </xf>
    <xf numFmtId="0" fontId="26" fillId="4" borderId="24" xfId="0" applyFont="1" applyFill="1" applyBorder="1" applyAlignment="1">
      <alignment horizontal="center" vertical="center"/>
    </xf>
    <xf numFmtId="0" fontId="26" fillId="2" borderId="23" xfId="0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/>
    </xf>
    <xf numFmtId="0" fontId="26" fillId="2" borderId="25" xfId="0" applyFont="1" applyFill="1" applyBorder="1" applyAlignment="1">
      <alignment horizontal="center" vertical="center"/>
    </xf>
    <xf numFmtId="0" fontId="19" fillId="5" borderId="18" xfId="0" applyFont="1" applyFill="1" applyBorder="1" applyAlignment="1">
      <alignment vertical="center"/>
    </xf>
    <xf numFmtId="0" fontId="23" fillId="0" borderId="27" xfId="0" applyFont="1" applyBorder="1" applyAlignment="1">
      <alignment vertical="center"/>
    </xf>
    <xf numFmtId="170" fontId="23" fillId="3" borderId="18" xfId="3" applyNumberFormat="1" applyFont="1" applyFill="1" applyBorder="1" applyAlignment="1">
      <alignment horizontal="center" vertical="center"/>
    </xf>
    <xf numFmtId="170" fontId="23" fillId="3" borderId="27" xfId="3" applyNumberFormat="1" applyFont="1" applyFill="1" applyBorder="1" applyAlignment="1">
      <alignment horizontal="center" vertical="center"/>
    </xf>
    <xf numFmtId="170" fontId="23" fillId="3" borderId="26" xfId="3" applyNumberFormat="1" applyFont="1" applyFill="1" applyBorder="1" applyAlignment="1">
      <alignment horizontal="center" vertical="center"/>
    </xf>
    <xf numFmtId="170" fontId="23" fillId="0" borderId="27" xfId="3" applyNumberFormat="1" applyFont="1" applyFill="1" applyBorder="1" applyAlignment="1">
      <alignment horizontal="center" vertical="center"/>
    </xf>
    <xf numFmtId="170" fontId="23" fillId="0" borderId="18" xfId="3" applyNumberFormat="1" applyFont="1" applyFill="1" applyBorder="1" applyAlignment="1">
      <alignment horizontal="center" vertical="center"/>
    </xf>
    <xf numFmtId="170" fontId="23" fillId="0" borderId="28" xfId="3" applyNumberFormat="1" applyFont="1" applyFill="1" applyBorder="1" applyAlignment="1">
      <alignment horizontal="center" vertical="center"/>
    </xf>
    <xf numFmtId="0" fontId="26" fillId="14" borderId="14" xfId="0" applyFont="1" applyFill="1" applyBorder="1" applyAlignment="1">
      <alignment horizontal="right" vertical="center"/>
    </xf>
    <xf numFmtId="0" fontId="26" fillId="14" borderId="0" xfId="0" applyFont="1" applyFill="1" applyBorder="1" applyAlignment="1">
      <alignment horizontal="right" vertical="center"/>
    </xf>
    <xf numFmtId="0" fontId="26" fillId="14" borderId="18" xfId="0" applyFont="1" applyFill="1" applyBorder="1" applyAlignment="1">
      <alignment horizontal="right" vertical="center"/>
    </xf>
    <xf numFmtId="0" fontId="26" fillId="11" borderId="14" xfId="0" applyFont="1" applyFill="1" applyBorder="1" applyAlignment="1">
      <alignment horizontal="right" vertical="center" wrapText="1"/>
    </xf>
    <xf numFmtId="0" fontId="26" fillId="11" borderId="18" xfId="0" applyFont="1" applyFill="1" applyBorder="1" applyAlignment="1">
      <alignment horizontal="right" vertical="center" wrapText="1"/>
    </xf>
    <xf numFmtId="187" fontId="23" fillId="12" borderId="13" xfId="0" applyNumberFormat="1" applyFont="1" applyFill="1" applyBorder="1" applyAlignment="1">
      <alignment horizontal="right" vertical="center"/>
    </xf>
    <xf numFmtId="0" fontId="42" fillId="5" borderId="29" xfId="0" applyFont="1" applyFill="1" applyBorder="1" applyAlignment="1">
      <alignment vertical="center" wrapText="1"/>
    </xf>
    <xf numFmtId="190" fontId="28" fillId="9" borderId="8" xfId="0" applyNumberFormat="1" applyFont="1" applyFill="1" applyBorder="1" applyAlignment="1">
      <alignment vertical="center" wrapText="1"/>
    </xf>
    <xf numFmtId="187" fontId="23" fillId="5" borderId="0" xfId="0" applyNumberFormat="1" applyFont="1" applyFill="1" applyBorder="1" applyAlignment="1">
      <alignment horizontal="right" vertical="center"/>
    </xf>
    <xf numFmtId="0" fontId="52" fillId="0" borderId="0" xfId="0" applyFont="1" applyAlignment="1">
      <alignment horizontal="right" vertical="center"/>
    </xf>
    <xf numFmtId="0" fontId="13" fillId="0" borderId="0" xfId="0" applyFont="1" applyFill="1"/>
    <xf numFmtId="188" fontId="13" fillId="0" borderId="0" xfId="0" applyNumberFormat="1" applyFont="1" applyFill="1"/>
    <xf numFmtId="188" fontId="53" fillId="0" borderId="0" xfId="0" applyNumberFormat="1" applyFont="1" applyFill="1" applyBorder="1" applyAlignment="1">
      <alignment horizontal="right"/>
    </xf>
    <xf numFmtId="188" fontId="13" fillId="0" borderId="0" xfId="0" applyNumberFormat="1" applyFont="1"/>
    <xf numFmtId="0" fontId="13" fillId="0" borderId="0" xfId="0" applyFont="1"/>
    <xf numFmtId="173" fontId="13" fillId="0" borderId="0" xfId="0" applyNumberFormat="1" applyFont="1"/>
    <xf numFmtId="188" fontId="13" fillId="0" borderId="0" xfId="0" applyNumberFormat="1" applyFont="1" applyFill="1" applyBorder="1" applyAlignment="1">
      <alignment horizontal="right"/>
    </xf>
    <xf numFmtId="188" fontId="13" fillId="0" borderId="0" xfId="0" applyNumberFormat="1" applyFont="1" applyFill="1" applyBorder="1"/>
    <xf numFmtId="0" fontId="13" fillId="0" borderId="0" xfId="0" applyFont="1" applyFill="1" applyBorder="1"/>
    <xf numFmtId="190" fontId="28" fillId="9" borderId="14" xfId="0" applyNumberFormat="1" applyFont="1" applyFill="1" applyBorder="1" applyAlignment="1">
      <alignment vertical="center" wrapText="1"/>
    </xf>
    <xf numFmtId="187" fontId="4" fillId="5" borderId="0" xfId="0" applyNumberFormat="1" applyFont="1" applyFill="1" applyBorder="1" applyAlignment="1">
      <alignment vertical="center"/>
    </xf>
    <xf numFmtId="0" fontId="54" fillId="0" borderId="0" xfId="0" applyFont="1" applyAlignment="1">
      <alignment horizontal="right" vertical="center"/>
    </xf>
    <xf numFmtId="0" fontId="10" fillId="5" borderId="0" xfId="0" applyFont="1" applyFill="1" applyAlignment="1">
      <alignment vertical="top"/>
    </xf>
    <xf numFmtId="0" fontId="17" fillId="0" borderId="0" xfId="0" applyFont="1" applyFill="1"/>
    <xf numFmtId="187" fontId="4" fillId="3" borderId="0" xfId="0" applyNumberFormat="1" applyFont="1" applyFill="1" applyAlignment="1">
      <alignment horizontal="right" vertical="center"/>
    </xf>
    <xf numFmtId="0" fontId="4" fillId="5" borderId="0" xfId="0" applyFont="1" applyFill="1" applyAlignment="1">
      <alignment vertical="top" wrapText="1"/>
    </xf>
    <xf numFmtId="0" fontId="42" fillId="0" borderId="7" xfId="0" applyFont="1" applyFill="1" applyBorder="1" applyAlignment="1">
      <alignment vertical="center" wrapText="1"/>
    </xf>
    <xf numFmtId="0" fontId="42" fillId="0" borderId="30" xfId="0" applyFont="1" applyFill="1" applyBorder="1" applyAlignment="1">
      <alignment vertical="center" wrapText="1"/>
    </xf>
    <xf numFmtId="0" fontId="46" fillId="0" borderId="7" xfId="0" applyFont="1" applyFill="1" applyBorder="1" applyAlignment="1">
      <alignment horizontal="left" vertical="center" wrapText="1" indent="3"/>
    </xf>
    <xf numFmtId="0" fontId="1" fillId="5" borderId="0" xfId="0" applyFont="1" applyFill="1"/>
    <xf numFmtId="174" fontId="23" fillId="5" borderId="7" xfId="0" applyNumberFormat="1" applyFont="1" applyFill="1" applyBorder="1" applyAlignment="1">
      <alignment horizontal="right" vertical="center"/>
    </xf>
    <xf numFmtId="185" fontId="23" fillId="5" borderId="7" xfId="0" applyNumberFormat="1" applyFont="1" applyFill="1" applyBorder="1" applyAlignment="1">
      <alignment horizontal="right" vertical="center"/>
    </xf>
    <xf numFmtId="187" fontId="37" fillId="5" borderId="7" xfId="0" applyNumberFormat="1" applyFont="1" applyFill="1" applyBorder="1" applyAlignment="1">
      <alignment horizontal="right" vertical="center"/>
    </xf>
    <xf numFmtId="185" fontId="37" fillId="5" borderId="7" xfId="0" applyNumberFormat="1" applyFont="1" applyFill="1" applyBorder="1" applyAlignment="1">
      <alignment horizontal="right" vertical="center"/>
    </xf>
    <xf numFmtId="189" fontId="26" fillId="5" borderId="7" xfId="0" applyNumberFormat="1" applyFont="1" applyFill="1" applyBorder="1" applyAlignment="1">
      <alignment horizontal="right" vertical="center"/>
    </xf>
    <xf numFmtId="167" fontId="28" fillId="9" borderId="8" xfId="0" applyNumberFormat="1" applyFont="1" applyFill="1" applyBorder="1" applyAlignment="1">
      <alignment vertical="center" wrapText="1"/>
    </xf>
    <xf numFmtId="170" fontId="28" fillId="9" borderId="9" xfId="3" applyNumberFormat="1" applyFont="1" applyFill="1" applyBorder="1" applyAlignment="1">
      <alignment vertical="center" wrapText="1"/>
    </xf>
    <xf numFmtId="0" fontId="23" fillId="5" borderId="0" xfId="0" applyFont="1" applyFill="1" applyAlignment="1">
      <alignment horizontal="left" vertical="center" wrapText="1"/>
    </xf>
    <xf numFmtId="0" fontId="37" fillId="5" borderId="0" xfId="0" applyFont="1" applyFill="1" applyAlignment="1">
      <alignment vertical="center" wrapText="1"/>
    </xf>
    <xf numFmtId="0" fontId="23" fillId="0" borderId="0" xfId="0" applyFont="1" applyAlignment="1">
      <alignment vertical="center" wrapText="1"/>
    </xf>
    <xf numFmtId="185" fontId="26" fillId="5" borderId="9" xfId="0" applyNumberFormat="1" applyFont="1" applyFill="1" applyBorder="1" applyAlignment="1">
      <alignment vertical="center"/>
    </xf>
    <xf numFmtId="0" fontId="56" fillId="5" borderId="0" xfId="0" applyFont="1" applyFill="1"/>
    <xf numFmtId="191" fontId="23" fillId="5" borderId="0" xfId="0" applyNumberFormat="1" applyFont="1" applyFill="1" applyBorder="1" applyAlignment="1">
      <alignment vertical="center"/>
    </xf>
    <xf numFmtId="191" fontId="30" fillId="5" borderId="0" xfId="1" applyNumberFormat="1" applyFont="1" applyFill="1" applyBorder="1" applyAlignment="1">
      <alignment horizontal="right" vertical="center"/>
    </xf>
    <xf numFmtId="179" fontId="48" fillId="5" borderId="0" xfId="0" applyNumberFormat="1" applyFont="1" applyFill="1" applyBorder="1" applyAlignment="1">
      <alignment vertical="center"/>
    </xf>
    <xf numFmtId="191" fontId="48" fillId="5" borderId="0" xfId="0" applyNumberFormat="1" applyFont="1" applyFill="1" applyBorder="1" applyAlignment="1">
      <alignment vertical="center"/>
    </xf>
    <xf numFmtId="191" fontId="23" fillId="5" borderId="18" xfId="0" applyNumberFormat="1" applyFont="1" applyFill="1" applyBorder="1" applyAlignment="1">
      <alignment vertical="center"/>
    </xf>
    <xf numFmtId="191" fontId="26" fillId="15" borderId="11" xfId="0" applyNumberFormat="1" applyFont="1" applyFill="1" applyBorder="1" applyAlignment="1">
      <alignment vertical="center"/>
    </xf>
    <xf numFmtId="191" fontId="23" fillId="5" borderId="14" xfId="0" applyNumberFormat="1" applyFont="1" applyFill="1" applyBorder="1" applyAlignment="1">
      <alignment vertical="center"/>
    </xf>
    <xf numFmtId="191" fontId="30" fillId="5" borderId="0" xfId="0" applyNumberFormat="1" applyFont="1" applyFill="1" applyBorder="1" applyAlignment="1">
      <alignment horizontal="right" vertical="center"/>
    </xf>
    <xf numFmtId="191" fontId="23" fillId="5" borderId="0" xfId="0" applyNumberFormat="1" applyFont="1" applyFill="1" applyBorder="1" applyAlignment="1">
      <alignment horizontal="right" vertical="center"/>
    </xf>
    <xf numFmtId="191" fontId="29" fillId="5" borderId="0" xfId="0" applyNumberFormat="1" applyFont="1" applyFill="1" applyBorder="1" applyAlignment="1">
      <alignment horizontal="right" vertical="center"/>
    </xf>
    <xf numFmtId="191" fontId="27" fillId="5" borderId="0" xfId="0" applyNumberFormat="1" applyFont="1" applyFill="1" applyBorder="1" applyAlignment="1">
      <alignment horizontal="right" vertical="center"/>
    </xf>
    <xf numFmtId="0" fontId="42" fillId="5" borderId="7" xfId="0" applyFont="1" applyFill="1" applyBorder="1" applyAlignment="1">
      <alignment vertical="center"/>
    </xf>
    <xf numFmtId="0" fontId="23" fillId="5" borderId="7" xfId="0" applyFont="1" applyFill="1" applyBorder="1" applyAlignment="1">
      <alignment horizontal="left" vertical="center"/>
    </xf>
    <xf numFmtId="191" fontId="23" fillId="0" borderId="14" xfId="0" applyNumberFormat="1" applyFont="1" applyFill="1" applyBorder="1"/>
    <xf numFmtId="0" fontId="23" fillId="0" borderId="14" xfId="0" applyFont="1" applyFill="1" applyBorder="1"/>
    <xf numFmtId="0" fontId="56" fillId="5" borderId="0" xfId="0" applyFont="1" applyFill="1" applyAlignment="1">
      <alignment vertical="center"/>
    </xf>
    <xf numFmtId="0" fontId="23" fillId="5" borderId="7" xfId="0" applyFont="1" applyFill="1" applyBorder="1" applyAlignment="1">
      <alignment vertical="center"/>
    </xf>
    <xf numFmtId="0" fontId="4" fillId="5" borderId="29" xfId="0" applyFont="1" applyFill="1" applyBorder="1" applyAlignment="1">
      <alignment vertical="center"/>
    </xf>
    <xf numFmtId="187" fontId="16" fillId="5" borderId="0" xfId="0" applyNumberFormat="1" applyFont="1" applyFill="1" applyBorder="1" applyAlignment="1">
      <alignment horizontal="right" vertical="center"/>
    </xf>
    <xf numFmtId="187" fontId="5" fillId="15" borderId="11" xfId="0" applyNumberFormat="1" applyFont="1" applyFill="1" applyBorder="1" applyAlignment="1">
      <alignment vertical="center"/>
    </xf>
    <xf numFmtId="187" fontId="4" fillId="0" borderId="0" xfId="0" applyNumberFormat="1" applyFont="1" applyFill="1" applyBorder="1" applyAlignment="1">
      <alignment vertical="center"/>
    </xf>
    <xf numFmtId="187" fontId="5" fillId="15" borderId="11" xfId="0" applyNumberFormat="1" applyFont="1" applyFill="1" applyBorder="1" applyAlignment="1"/>
    <xf numFmtId="0" fontId="23" fillId="0" borderId="29" xfId="0" applyFont="1" applyFill="1" applyBorder="1" applyAlignment="1">
      <alignment vertical="center"/>
    </xf>
    <xf numFmtId="0" fontId="34" fillId="8" borderId="0" xfId="0" applyFont="1" applyFill="1" applyBorder="1" applyAlignment="1">
      <alignment horizontal="center" vertical="center" wrapText="1"/>
    </xf>
    <xf numFmtId="0" fontId="34" fillId="8" borderId="7" xfId="0" applyFont="1" applyFill="1" applyBorder="1" applyAlignment="1">
      <alignment horizontal="center" vertical="center" wrapText="1"/>
    </xf>
    <xf numFmtId="0" fontId="34" fillId="8" borderId="13" xfId="0" applyFont="1" applyFill="1" applyBorder="1" applyAlignment="1">
      <alignment horizontal="center" vertical="center" wrapText="1"/>
    </xf>
    <xf numFmtId="0" fontId="26" fillId="8" borderId="11" xfId="0" applyFont="1" applyFill="1" applyBorder="1" applyAlignment="1">
      <alignment horizontal="right" vertical="center" wrapText="1"/>
    </xf>
    <xf numFmtId="0" fontId="26" fillId="14" borderId="0" xfId="0" applyFont="1" applyFill="1" applyBorder="1" applyAlignment="1">
      <alignment horizontal="right" vertical="center" wrapText="1"/>
    </xf>
    <xf numFmtId="0" fontId="26" fillId="14" borderId="18" xfId="0" applyFont="1" applyFill="1" applyBorder="1" applyAlignment="1">
      <alignment horizontal="right" vertical="center" wrapText="1"/>
    </xf>
    <xf numFmtId="0" fontId="26" fillId="2" borderId="23" xfId="0" applyFont="1" applyFill="1" applyBorder="1" applyAlignment="1">
      <alignment horizontal="center" vertical="center" wrapText="1"/>
    </xf>
    <xf numFmtId="0" fontId="26" fillId="4" borderId="24" xfId="0" applyFont="1" applyFill="1" applyBorder="1" applyAlignment="1">
      <alignment horizontal="center" vertical="center" wrapText="1"/>
    </xf>
    <xf numFmtId="49" fontId="17" fillId="0" borderId="0" xfId="0" applyNumberFormat="1" applyFont="1" applyFill="1"/>
    <xf numFmtId="0" fontId="33" fillId="5" borderId="10" xfId="0" applyFont="1" applyFill="1" applyBorder="1" applyAlignment="1">
      <alignment vertical="center" wrapText="1"/>
    </xf>
    <xf numFmtId="0" fontId="26" fillId="2" borderId="24" xfId="0" applyFont="1" applyFill="1" applyBorder="1" applyAlignment="1">
      <alignment horizontal="center" vertical="center" wrapText="1"/>
    </xf>
    <xf numFmtId="170" fontId="23" fillId="0" borderId="5" xfId="3" applyNumberFormat="1" applyFont="1" applyFill="1" applyBorder="1" applyAlignment="1">
      <alignment horizontal="center" vertical="center"/>
    </xf>
    <xf numFmtId="167" fontId="23" fillId="0" borderId="5" xfId="3" applyNumberFormat="1" applyFont="1" applyFill="1" applyBorder="1" applyAlignment="1">
      <alignment horizontal="center" vertical="center"/>
    </xf>
    <xf numFmtId="170" fontId="23" fillId="0" borderId="26" xfId="3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left" vertical="center" wrapText="1"/>
    </xf>
    <xf numFmtId="0" fontId="34" fillId="8" borderId="20" xfId="0" applyFont="1" applyFill="1" applyBorder="1" applyAlignment="1">
      <alignment horizontal="center" vertical="center" wrapText="1"/>
    </xf>
    <xf numFmtId="0" fontId="34" fillId="8" borderId="21" xfId="0" applyFont="1" applyFill="1" applyBorder="1" applyAlignment="1">
      <alignment horizontal="center" vertical="center" wrapText="1"/>
    </xf>
    <xf numFmtId="0" fontId="34" fillId="8" borderId="22" xfId="0" applyFont="1" applyFill="1" applyBorder="1" applyAlignment="1">
      <alignment horizontal="center" vertical="center" wrapText="1"/>
    </xf>
    <xf numFmtId="0" fontId="34" fillId="8" borderId="8" xfId="0" applyFont="1" applyFill="1" applyBorder="1" applyAlignment="1">
      <alignment horizontal="center" vertical="center" wrapText="1"/>
    </xf>
    <xf numFmtId="0" fontId="34" fillId="8" borderId="14" xfId="0" applyFont="1" applyFill="1" applyBorder="1" applyAlignment="1">
      <alignment horizontal="center" vertical="center" wrapText="1"/>
    </xf>
    <xf numFmtId="0" fontId="34" fillId="8" borderId="15" xfId="0" applyFont="1" applyFill="1" applyBorder="1" applyAlignment="1">
      <alignment horizontal="center" vertical="center" wrapText="1"/>
    </xf>
    <xf numFmtId="0" fontId="34" fillId="8" borderId="31" xfId="0" applyFont="1" applyFill="1" applyBorder="1" applyAlignment="1">
      <alignment horizontal="center" vertical="center" wrapText="1"/>
    </xf>
    <xf numFmtId="0" fontId="34" fillId="8" borderId="3" xfId="0" applyFont="1" applyFill="1" applyBorder="1" applyAlignment="1">
      <alignment horizontal="center" vertical="center" wrapText="1"/>
    </xf>
    <xf numFmtId="0" fontId="34" fillId="8" borderId="3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</cellXfs>
  <cellStyles count="4">
    <cellStyle name="Dziesiętny" xfId="1" builtinId="3"/>
    <cellStyle name="Normalny" xfId="0" builtinId="0"/>
    <cellStyle name="Procentowy" xfId="2" builtinId="5"/>
    <cellStyle name="Procentowy 2" xfId="3"/>
  </cellStyles>
  <dxfs count="0"/>
  <tableStyles count="0" defaultTableStyle="TableStyleMedium9" defaultPivotStyle="PivotStyleLight16"/>
  <colors>
    <mruColors>
      <color rgb="FFF7A8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Q53"/>
  <sheetViews>
    <sheetView showGridLines="0" topLeftCell="A13" zoomScaleNormal="100" zoomScaleSheetLayoutView="85" workbookViewId="0">
      <pane xSplit="2" topLeftCell="AD1" activePane="topRight" state="frozen"/>
      <selection pane="topRight" activeCell="AD35" sqref="AD35"/>
    </sheetView>
  </sheetViews>
  <sheetFormatPr defaultColWidth="9" defaultRowHeight="28.5" customHeight="1"/>
  <cols>
    <col min="1" max="1" width="58.08203125" style="266" customWidth="1"/>
    <col min="2" max="2" width="41.58203125" style="147" customWidth="1"/>
    <col min="3" max="8" width="9" style="143"/>
    <col min="9" max="9" width="9" style="144"/>
    <col min="10" max="10" width="9" style="145"/>
    <col min="11" max="12" width="10.08203125" style="143" bestFit="1" customWidth="1"/>
    <col min="13" max="13" width="10.08203125" style="143" customWidth="1"/>
    <col min="14" max="16" width="9.25" style="143" customWidth="1"/>
    <col min="17" max="17" width="10.08203125" style="143" bestFit="1" customWidth="1"/>
    <col min="18" max="21" width="10.08203125" style="143" customWidth="1"/>
    <col min="22" max="22" width="10.08203125" style="143" bestFit="1" customWidth="1"/>
    <col min="23" max="24" width="10.08203125" style="143" customWidth="1"/>
    <col min="25" max="25" width="10.08203125" style="261" customWidth="1"/>
    <col min="26" max="26" width="10.08203125" style="143" customWidth="1"/>
    <col min="27" max="27" width="10.08203125" style="143" bestFit="1" customWidth="1"/>
    <col min="28" max="29" width="10.08203125" style="143" customWidth="1"/>
    <col min="30" max="32" width="9" style="147"/>
    <col min="33" max="34" width="10.08203125" style="143" customWidth="1"/>
    <col min="35" max="35" width="10.08203125" style="261" customWidth="1"/>
    <col min="36" max="36" width="10.08203125" style="143" customWidth="1"/>
    <col min="37" max="37" width="10.08203125" style="143" bestFit="1" customWidth="1"/>
    <col min="39" max="40" width="10.08203125" style="143" customWidth="1"/>
    <col min="41" max="41" width="10.08203125" style="261" customWidth="1"/>
    <col min="42" max="42" width="10.08203125" style="143" customWidth="1"/>
    <col min="43" max="43" width="10.08203125" style="143" bestFit="1" customWidth="1"/>
    <col min="44" max="16384" width="9" style="147"/>
  </cols>
  <sheetData>
    <row r="1" spans="1:43" s="156" customFormat="1" ht="28.5" customHeight="1" thickBot="1">
      <c r="A1" s="267" t="s">
        <v>791</v>
      </c>
      <c r="B1" s="207" t="s">
        <v>749</v>
      </c>
      <c r="C1" s="153"/>
      <c r="D1" s="153"/>
      <c r="E1" s="153"/>
      <c r="F1" s="153"/>
      <c r="G1" s="153"/>
      <c r="H1" s="153"/>
      <c r="I1" s="154"/>
      <c r="J1" s="155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204"/>
      <c r="V1" s="204"/>
      <c r="W1" s="204"/>
      <c r="X1" s="204"/>
      <c r="Y1" s="248"/>
      <c r="Z1" s="204"/>
      <c r="AA1" s="204"/>
      <c r="AB1" s="204"/>
      <c r="AC1" s="204"/>
      <c r="AG1" s="204"/>
      <c r="AH1" s="204"/>
      <c r="AI1" s="516"/>
      <c r="AJ1" s="204"/>
      <c r="AK1" s="204"/>
      <c r="AM1" s="204"/>
      <c r="AN1" s="204"/>
      <c r="AO1" s="516"/>
      <c r="AP1" s="204"/>
      <c r="AQ1" s="204"/>
    </row>
    <row r="2" spans="1:43" ht="28.5" customHeight="1" thickBot="1">
      <c r="A2" s="263" t="s">
        <v>792</v>
      </c>
      <c r="B2" s="208"/>
      <c r="C2" s="571">
        <v>2012</v>
      </c>
      <c r="D2" s="571"/>
      <c r="E2" s="571"/>
      <c r="F2" s="571"/>
      <c r="G2" s="572"/>
      <c r="H2" s="571">
        <v>2013</v>
      </c>
      <c r="I2" s="571"/>
      <c r="J2" s="571"/>
      <c r="K2" s="571"/>
      <c r="L2" s="572"/>
      <c r="M2" s="570">
        <v>2014</v>
      </c>
      <c r="N2" s="571"/>
      <c r="O2" s="571"/>
      <c r="P2" s="571"/>
      <c r="Q2" s="572"/>
      <c r="R2" s="567">
        <v>2015</v>
      </c>
      <c r="S2" s="568"/>
      <c r="T2" s="568"/>
      <c r="U2" s="568"/>
      <c r="V2" s="569"/>
      <c r="W2" s="567">
        <v>2016</v>
      </c>
      <c r="X2" s="568"/>
      <c r="Y2" s="568"/>
      <c r="Z2" s="568"/>
      <c r="AA2" s="569"/>
      <c r="AB2" s="567">
        <v>2017</v>
      </c>
      <c r="AC2" s="568"/>
      <c r="AD2" s="568"/>
      <c r="AE2" s="568"/>
      <c r="AF2" s="569"/>
      <c r="AG2" s="567" t="s">
        <v>1066</v>
      </c>
      <c r="AH2" s="568"/>
      <c r="AI2" s="568"/>
      <c r="AJ2" s="568"/>
      <c r="AK2" s="569"/>
      <c r="AM2" s="567" t="s">
        <v>1090</v>
      </c>
      <c r="AN2" s="568"/>
      <c r="AO2" s="568"/>
      <c r="AP2" s="568"/>
      <c r="AQ2" s="569"/>
    </row>
    <row r="3" spans="1:43" ht="28.5" customHeight="1" thickBot="1">
      <c r="A3" s="472"/>
      <c r="B3" s="561" t="s">
        <v>750</v>
      </c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553"/>
      <c r="N3" s="552"/>
      <c r="O3" s="552"/>
      <c r="P3" s="552"/>
      <c r="Q3" s="554"/>
      <c r="R3" s="552"/>
      <c r="S3" s="552"/>
      <c r="T3" s="552"/>
      <c r="U3" s="552"/>
      <c r="V3" s="554"/>
      <c r="W3" s="552"/>
      <c r="X3" s="552"/>
      <c r="Y3" s="552"/>
      <c r="Z3" s="552"/>
      <c r="AA3" s="554"/>
      <c r="AB3" s="552"/>
      <c r="AC3" s="552"/>
      <c r="AD3" s="552"/>
      <c r="AE3" s="552"/>
      <c r="AF3" s="554"/>
      <c r="AG3" s="573" t="s">
        <v>1067</v>
      </c>
      <c r="AH3" s="574"/>
      <c r="AI3" s="574"/>
      <c r="AJ3" s="574"/>
      <c r="AK3" s="575"/>
      <c r="AM3" s="573" t="s">
        <v>1089</v>
      </c>
      <c r="AN3" s="574"/>
      <c r="AO3" s="574"/>
      <c r="AP3" s="574"/>
      <c r="AQ3" s="575"/>
    </row>
    <row r="4" spans="1:43" ht="16.5" customHeight="1" thickBot="1">
      <c r="A4" s="264" t="s">
        <v>793</v>
      </c>
      <c r="B4" s="209" t="s">
        <v>751</v>
      </c>
      <c r="C4" s="169" t="s">
        <v>753</v>
      </c>
      <c r="D4" s="169" t="s">
        <v>754</v>
      </c>
      <c r="E4" s="169" t="s">
        <v>755</v>
      </c>
      <c r="F4" s="169" t="s">
        <v>756</v>
      </c>
      <c r="G4" s="170">
        <v>2012</v>
      </c>
      <c r="H4" s="171" t="s">
        <v>753</v>
      </c>
      <c r="I4" s="169" t="s">
        <v>754</v>
      </c>
      <c r="J4" s="169" t="s">
        <v>755</v>
      </c>
      <c r="K4" s="169" t="s">
        <v>756</v>
      </c>
      <c r="L4" s="170">
        <v>2013</v>
      </c>
      <c r="M4" s="171" t="s">
        <v>753</v>
      </c>
      <c r="N4" s="169" t="s">
        <v>754</v>
      </c>
      <c r="O4" s="169" t="s">
        <v>755</v>
      </c>
      <c r="P4" s="169" t="s">
        <v>756</v>
      </c>
      <c r="Q4" s="172">
        <v>2014</v>
      </c>
      <c r="R4" s="169" t="s">
        <v>753</v>
      </c>
      <c r="S4" s="169" t="s">
        <v>754</v>
      </c>
      <c r="T4" s="169" t="s">
        <v>755</v>
      </c>
      <c r="U4" s="169" t="s">
        <v>756</v>
      </c>
      <c r="V4" s="172">
        <v>2015</v>
      </c>
      <c r="W4" s="169" t="s">
        <v>767</v>
      </c>
      <c r="X4" s="169" t="s">
        <v>754</v>
      </c>
      <c r="Y4" s="249" t="s">
        <v>755</v>
      </c>
      <c r="Z4" s="169" t="s">
        <v>756</v>
      </c>
      <c r="AA4" s="172" t="s">
        <v>790</v>
      </c>
      <c r="AB4" s="169" t="s">
        <v>753</v>
      </c>
      <c r="AC4" s="169" t="s">
        <v>754</v>
      </c>
      <c r="AD4" s="169" t="s">
        <v>755</v>
      </c>
      <c r="AE4" s="169" t="s">
        <v>756</v>
      </c>
      <c r="AF4" s="172">
        <v>2017</v>
      </c>
      <c r="AG4" s="169" t="s">
        <v>753</v>
      </c>
      <c r="AH4" s="169" t="s">
        <v>754</v>
      </c>
      <c r="AI4" s="249" t="s">
        <v>755</v>
      </c>
      <c r="AJ4" s="169" t="s">
        <v>756</v>
      </c>
      <c r="AK4" s="172" t="s">
        <v>1043</v>
      </c>
      <c r="AL4" s="147"/>
      <c r="AM4" s="171" t="s">
        <v>753</v>
      </c>
      <c r="AN4" s="169" t="s">
        <v>754</v>
      </c>
      <c r="AO4" s="249" t="s">
        <v>755</v>
      </c>
      <c r="AP4" s="169" t="s">
        <v>756</v>
      </c>
      <c r="AQ4" s="172" t="s">
        <v>1043</v>
      </c>
    </row>
    <row r="5" spans="1:43" ht="34.5" customHeight="1" thickBot="1">
      <c r="A5" s="210" t="s">
        <v>794</v>
      </c>
      <c r="B5" s="210" t="s">
        <v>148</v>
      </c>
      <c r="C5" s="175">
        <f>SUM(C6:C9)</f>
        <v>669.2</v>
      </c>
      <c r="D5" s="175">
        <f t="shared" ref="D5:H5" si="0">SUM(D6:D9)</f>
        <v>713.8</v>
      </c>
      <c r="E5" s="175">
        <f t="shared" si="0"/>
        <v>644.5</v>
      </c>
      <c r="F5" s="175">
        <f t="shared" si="0"/>
        <v>750.60000000000014</v>
      </c>
      <c r="G5" s="176">
        <f>SUM(G6:G9)</f>
        <v>2778.0999999999995</v>
      </c>
      <c r="H5" s="177">
        <f t="shared" si="0"/>
        <v>697.1</v>
      </c>
      <c r="I5" s="175">
        <f t="shared" ref="I5" si="1">SUM(I6:I9)</f>
        <v>735.9</v>
      </c>
      <c r="J5" s="175">
        <f t="shared" ref="J5" si="2">SUM(J6:J9)</f>
        <v>677.3</v>
      </c>
      <c r="K5" s="175">
        <f t="shared" ref="K5:N5" si="3">SUM(K6:K9)</f>
        <v>800.5</v>
      </c>
      <c r="L5" s="176">
        <f>SUM(L6:L9)</f>
        <v>2910.8</v>
      </c>
      <c r="M5" s="177">
        <f t="shared" si="3"/>
        <v>723.29999999999984</v>
      </c>
      <c r="N5" s="175">
        <f t="shared" si="3"/>
        <v>1745.9</v>
      </c>
      <c r="O5" s="175">
        <f t="shared" ref="O5" si="4">SUM(O6:O9)</f>
        <v>2419.6</v>
      </c>
      <c r="P5" s="175">
        <f t="shared" ref="P5" si="5">SUM(P6:P9)</f>
        <v>2521.1000000000004</v>
      </c>
      <c r="Q5" s="178">
        <f>SUM(Q6:Q9)</f>
        <v>7409.9</v>
      </c>
      <c r="R5" s="175">
        <f t="shared" ref="R5:U5" si="6">SUM(R6:R9)</f>
        <v>2329</v>
      </c>
      <c r="S5" s="175">
        <f t="shared" si="6"/>
        <v>2469.1999999999998</v>
      </c>
      <c r="T5" s="175">
        <f t="shared" si="6"/>
        <v>2414.8999999999996</v>
      </c>
      <c r="U5" s="175">
        <f t="shared" si="6"/>
        <v>2609.9</v>
      </c>
      <c r="V5" s="178">
        <f>SUM(V6:V9)</f>
        <v>9823</v>
      </c>
      <c r="W5" s="175">
        <f t="shared" ref="W5" si="7">SUM(W6:W9)</f>
        <v>2364</v>
      </c>
      <c r="X5" s="175">
        <f t="shared" ref="X5:Z5" si="8">SUM(X6:X9)</f>
        <v>2442.9</v>
      </c>
      <c r="Y5" s="250">
        <f t="shared" si="8"/>
        <v>2387.8000000000002</v>
      </c>
      <c r="Z5" s="250">
        <f t="shared" si="8"/>
        <v>2535.1</v>
      </c>
      <c r="AA5" s="178">
        <f>SUM(AA6:AA9)</f>
        <v>9729.7999999999993</v>
      </c>
      <c r="AB5" s="175">
        <f t="shared" ref="AB5:AF5" si="9">SUM(AB6:AB9)</f>
        <v>2388.6</v>
      </c>
      <c r="AC5" s="175">
        <f t="shared" si="9"/>
        <v>2469.9</v>
      </c>
      <c r="AD5" s="175">
        <f t="shared" si="9"/>
        <v>2390.9</v>
      </c>
      <c r="AE5" s="175">
        <f t="shared" si="9"/>
        <v>2579.1999999999998</v>
      </c>
      <c r="AF5" s="178">
        <f t="shared" si="9"/>
        <v>9828.6</v>
      </c>
      <c r="AG5" s="175">
        <f>SUM(AG6:AG9)</f>
        <v>2360.6999999999998</v>
      </c>
      <c r="AH5" s="175">
        <f>SUM(AH6:AH9)</f>
        <v>0</v>
      </c>
      <c r="AI5" s="175">
        <f>SUM(AI6:AI9)</f>
        <v>0</v>
      </c>
      <c r="AJ5" s="250">
        <f t="shared" ref="AJ5:AK5" si="10">SUM(AJ6:AJ9)</f>
        <v>0</v>
      </c>
      <c r="AK5" s="178">
        <f t="shared" si="10"/>
        <v>2360.6999999999998</v>
      </c>
      <c r="AL5" s="147"/>
      <c r="AM5" s="177">
        <f>SUM(AM6:AM9)</f>
        <v>2345.9</v>
      </c>
      <c r="AN5" s="175">
        <f>SUM(AN6:AN9)</f>
        <v>0</v>
      </c>
      <c r="AO5" s="175">
        <f>SUM(AO6:AO9)</f>
        <v>0</v>
      </c>
      <c r="AP5" s="250">
        <f t="shared" ref="AP5:AQ5" si="11">SUM(AP6:AP9)</f>
        <v>0</v>
      </c>
      <c r="AQ5" s="178">
        <f t="shared" si="11"/>
        <v>2345.9</v>
      </c>
    </row>
    <row r="6" spans="1:43" ht="24.75" customHeight="1">
      <c r="A6" s="268" t="s">
        <v>795</v>
      </c>
      <c r="B6" s="161" t="s">
        <v>162</v>
      </c>
      <c r="C6" s="158">
        <v>424</v>
      </c>
      <c r="D6" s="158">
        <v>427.1</v>
      </c>
      <c r="E6" s="158">
        <v>434.4</v>
      </c>
      <c r="F6" s="158">
        <v>446.6</v>
      </c>
      <c r="G6" s="163">
        <f>SUM(C6:F6)</f>
        <v>1732.1</v>
      </c>
      <c r="H6" s="157">
        <v>451.7</v>
      </c>
      <c r="I6" s="158">
        <v>452</v>
      </c>
      <c r="J6" s="158">
        <v>460.3</v>
      </c>
      <c r="K6" s="158">
        <v>466.1</v>
      </c>
      <c r="L6" s="163">
        <f>SUM(H6:K6)</f>
        <v>1830.1</v>
      </c>
      <c r="M6" s="157">
        <v>467.79999999999995</v>
      </c>
      <c r="N6" s="158">
        <v>1204.5</v>
      </c>
      <c r="O6" s="158">
        <v>1710.7</v>
      </c>
      <c r="P6" s="158">
        <v>1701.7</v>
      </c>
      <c r="Q6" s="166">
        <f>SUM(M6:P6)</f>
        <v>5084.7</v>
      </c>
      <c r="R6" s="158">
        <v>1637.2</v>
      </c>
      <c r="S6" s="158">
        <v>1652</v>
      </c>
      <c r="T6" s="158">
        <v>1643.3</v>
      </c>
      <c r="U6" s="205">
        <v>1620.6</v>
      </c>
      <c r="V6" s="166">
        <v>6553.1</v>
      </c>
      <c r="W6" s="195">
        <v>1565.7</v>
      </c>
      <c r="X6" s="195">
        <v>1586.9</v>
      </c>
      <c r="Y6" s="251">
        <v>1583.7</v>
      </c>
      <c r="Z6" s="205">
        <v>1589</v>
      </c>
      <c r="AA6" s="166">
        <f>SUM(W6:Z6)</f>
        <v>6325.3</v>
      </c>
      <c r="AB6" s="195">
        <v>1542.7</v>
      </c>
      <c r="AC6" s="195">
        <v>1533.3</v>
      </c>
      <c r="AD6" s="195">
        <v>1494</v>
      </c>
      <c r="AE6" s="195">
        <v>1497.9</v>
      </c>
      <c r="AF6" s="167">
        <f>SUM(AB6:AE6)</f>
        <v>6067.9</v>
      </c>
      <c r="AG6" s="195">
        <v>1470.2</v>
      </c>
      <c r="AH6" s="195"/>
      <c r="AI6" s="195"/>
      <c r="AJ6" s="251"/>
      <c r="AK6" s="166">
        <f>SUM(AG6:AJ6)</f>
        <v>1470.2</v>
      </c>
      <c r="AL6" s="147"/>
      <c r="AM6" s="517">
        <v>1352.2</v>
      </c>
      <c r="AN6" s="195"/>
      <c r="AO6" s="251"/>
      <c r="AP6" s="251"/>
      <c r="AQ6" s="166">
        <f>SUM(AM6:AP6)</f>
        <v>1352.2</v>
      </c>
    </row>
    <row r="7" spans="1:43" ht="20.149999999999999" customHeight="1">
      <c r="A7" s="269" t="s">
        <v>796</v>
      </c>
      <c r="B7" s="161" t="s">
        <v>163</v>
      </c>
      <c r="C7" s="158">
        <v>234.6</v>
      </c>
      <c r="D7" s="158">
        <v>272.7</v>
      </c>
      <c r="E7" s="158">
        <v>198</v>
      </c>
      <c r="F7" s="158">
        <v>286.3</v>
      </c>
      <c r="G7" s="163">
        <f t="shared" ref="G7:G9" si="12">SUM(C7:F7)</f>
        <v>991.59999999999991</v>
      </c>
      <c r="H7" s="157">
        <v>223.8</v>
      </c>
      <c r="I7" s="158">
        <v>265.2</v>
      </c>
      <c r="J7" s="158">
        <v>204</v>
      </c>
      <c r="K7" s="158">
        <v>317.2</v>
      </c>
      <c r="L7" s="163">
        <f t="shared" ref="L7:L9" si="13">SUM(H7:K7)</f>
        <v>1010.2</v>
      </c>
      <c r="M7" s="157">
        <v>242.19999999999993</v>
      </c>
      <c r="N7" s="158">
        <v>479.1</v>
      </c>
      <c r="O7" s="158">
        <v>591.6</v>
      </c>
      <c r="P7" s="158">
        <v>641.1</v>
      </c>
      <c r="Q7" s="166">
        <f t="shared" ref="Q7:Q9" si="14">SUM(M7:P7)</f>
        <v>1954</v>
      </c>
      <c r="R7" s="158">
        <v>553.29999999999995</v>
      </c>
      <c r="S7" s="158">
        <v>688.7</v>
      </c>
      <c r="T7" s="158">
        <v>616.9</v>
      </c>
      <c r="U7" s="206">
        <v>738</v>
      </c>
      <c r="V7" s="166">
        <v>2596.9</v>
      </c>
      <c r="W7" s="195">
        <v>599.79999999999995</v>
      </c>
      <c r="X7" s="195">
        <v>645</v>
      </c>
      <c r="Y7" s="251">
        <v>562.9</v>
      </c>
      <c r="Z7" s="206">
        <v>658.4</v>
      </c>
      <c r="AA7" s="166">
        <f t="shared" ref="AA7:AA29" si="15">SUM(W7:Z7)</f>
        <v>2466.1</v>
      </c>
      <c r="AB7" s="195">
        <v>562.1</v>
      </c>
      <c r="AC7" s="195">
        <v>652.29999999999995</v>
      </c>
      <c r="AD7" s="195">
        <v>588.4</v>
      </c>
      <c r="AE7" s="195">
        <v>735.8</v>
      </c>
      <c r="AF7" s="167">
        <f t="shared" ref="AF7:AF9" si="16">SUM(AB7:AE7)</f>
        <v>2538.6000000000004</v>
      </c>
      <c r="AG7" s="195">
        <v>635.9</v>
      </c>
      <c r="AH7" s="195"/>
      <c r="AI7" s="195"/>
      <c r="AJ7" s="251"/>
      <c r="AK7" s="166">
        <f t="shared" ref="AK7:AK9" si="17">SUM(AG7:AJ7)</f>
        <v>635.9</v>
      </c>
      <c r="AL7" s="147"/>
      <c r="AM7" s="517">
        <v>635.9</v>
      </c>
      <c r="AN7" s="195"/>
      <c r="AO7" s="251"/>
      <c r="AP7" s="251"/>
      <c r="AQ7" s="166">
        <f t="shared" ref="AQ7:AQ9" si="18">SUM(AM7:AP7)</f>
        <v>635.9</v>
      </c>
    </row>
    <row r="8" spans="1:43" ht="20.149999999999999" customHeight="1">
      <c r="A8" s="269" t="s">
        <v>797</v>
      </c>
      <c r="B8" s="161" t="s">
        <v>164</v>
      </c>
      <c r="C8" s="158">
        <v>2.7</v>
      </c>
      <c r="D8" s="158">
        <v>6.2</v>
      </c>
      <c r="E8" s="158">
        <v>2.6</v>
      </c>
      <c r="F8" s="158">
        <v>7.2</v>
      </c>
      <c r="G8" s="163">
        <f t="shared" si="12"/>
        <v>18.7</v>
      </c>
      <c r="H8" s="157">
        <v>13.1</v>
      </c>
      <c r="I8" s="158">
        <v>11.8</v>
      </c>
      <c r="J8" s="158">
        <v>7.1</v>
      </c>
      <c r="K8" s="158">
        <v>9.6999999999999993</v>
      </c>
      <c r="L8" s="163">
        <f t="shared" si="13"/>
        <v>41.7</v>
      </c>
      <c r="M8" s="157">
        <v>7.8999999999999986</v>
      </c>
      <c r="N8" s="158">
        <v>55.4</v>
      </c>
      <c r="O8" s="158">
        <v>104.1</v>
      </c>
      <c r="P8" s="158">
        <v>159.9</v>
      </c>
      <c r="Q8" s="166">
        <f t="shared" si="14"/>
        <v>327.29999999999995</v>
      </c>
      <c r="R8" s="158">
        <v>118.4</v>
      </c>
      <c r="S8" s="158">
        <v>106.9</v>
      </c>
      <c r="T8" s="158">
        <v>131.19999999999999</v>
      </c>
      <c r="U8" s="206">
        <v>226.89999999999998</v>
      </c>
      <c r="V8" s="166">
        <v>583.4</v>
      </c>
      <c r="W8" s="195">
        <v>172.8</v>
      </c>
      <c r="X8" s="195">
        <v>191.1</v>
      </c>
      <c r="Y8" s="251">
        <v>221.3</v>
      </c>
      <c r="Z8" s="206">
        <v>265.60000000000002</v>
      </c>
      <c r="AA8" s="166">
        <f t="shared" si="15"/>
        <v>850.80000000000007</v>
      </c>
      <c r="AB8" s="195">
        <v>248.6</v>
      </c>
      <c r="AC8" s="195">
        <v>243.3</v>
      </c>
      <c r="AD8" s="195">
        <v>264.5</v>
      </c>
      <c r="AE8" s="195">
        <v>298.8</v>
      </c>
      <c r="AF8" s="167">
        <f t="shared" si="16"/>
        <v>1055.2</v>
      </c>
      <c r="AG8" s="195">
        <v>208.6</v>
      </c>
      <c r="AH8" s="195"/>
      <c r="AI8" s="195"/>
      <c r="AJ8" s="251"/>
      <c r="AK8" s="166">
        <f t="shared" si="17"/>
        <v>208.6</v>
      </c>
      <c r="AL8" s="147"/>
      <c r="AM8" s="517">
        <v>317.5</v>
      </c>
      <c r="AN8" s="195"/>
      <c r="AO8" s="251"/>
      <c r="AP8" s="251"/>
      <c r="AQ8" s="166">
        <f t="shared" si="18"/>
        <v>317.5</v>
      </c>
    </row>
    <row r="9" spans="1:43" ht="20.149999999999999" customHeight="1" thickBot="1">
      <c r="A9" s="270" t="s">
        <v>798</v>
      </c>
      <c r="B9" s="161" t="s">
        <v>165</v>
      </c>
      <c r="C9" s="158">
        <v>7.9</v>
      </c>
      <c r="D9" s="158">
        <v>7.8</v>
      </c>
      <c r="E9" s="158">
        <v>9.5</v>
      </c>
      <c r="F9" s="158">
        <v>10.5</v>
      </c>
      <c r="G9" s="163">
        <f t="shared" si="12"/>
        <v>35.700000000000003</v>
      </c>
      <c r="H9" s="157">
        <v>8.5</v>
      </c>
      <c r="I9" s="158">
        <v>6.9</v>
      </c>
      <c r="J9" s="158">
        <v>5.9</v>
      </c>
      <c r="K9" s="158">
        <v>7.5</v>
      </c>
      <c r="L9" s="163">
        <f t="shared" si="13"/>
        <v>28.8</v>
      </c>
      <c r="M9" s="157">
        <v>5.4</v>
      </c>
      <c r="N9" s="158">
        <v>6.9</v>
      </c>
      <c r="O9" s="158">
        <v>13.2</v>
      </c>
      <c r="P9" s="158">
        <v>18.399999999999999</v>
      </c>
      <c r="Q9" s="166">
        <f t="shared" si="14"/>
        <v>43.9</v>
      </c>
      <c r="R9" s="158">
        <v>20.100000000000001</v>
      </c>
      <c r="S9" s="158">
        <v>21.6</v>
      </c>
      <c r="T9" s="158">
        <v>23.5</v>
      </c>
      <c r="U9" s="206">
        <v>24.399999999999991</v>
      </c>
      <c r="V9" s="166">
        <v>89.6</v>
      </c>
      <c r="W9" s="195">
        <v>25.7</v>
      </c>
      <c r="X9" s="195">
        <v>19.899999999999999</v>
      </c>
      <c r="Y9" s="251">
        <v>19.899999999999999</v>
      </c>
      <c r="Z9" s="206">
        <v>22.1</v>
      </c>
      <c r="AA9" s="166">
        <f t="shared" si="15"/>
        <v>87.6</v>
      </c>
      <c r="AB9" s="195">
        <v>35.200000000000003</v>
      </c>
      <c r="AC9" s="195">
        <v>41</v>
      </c>
      <c r="AD9" s="195">
        <v>44</v>
      </c>
      <c r="AE9" s="195">
        <v>46.7</v>
      </c>
      <c r="AF9" s="167">
        <f t="shared" si="16"/>
        <v>166.9</v>
      </c>
      <c r="AG9" s="195">
        <v>46</v>
      </c>
      <c r="AH9" s="195"/>
      <c r="AI9" s="195"/>
      <c r="AJ9" s="251"/>
      <c r="AK9" s="166">
        <f t="shared" si="17"/>
        <v>46</v>
      </c>
      <c r="AL9" s="147"/>
      <c r="AM9" s="517">
        <v>40.299999999999997</v>
      </c>
      <c r="AN9" s="195"/>
      <c r="AO9" s="251"/>
      <c r="AP9" s="251"/>
      <c r="AQ9" s="166">
        <f t="shared" si="18"/>
        <v>40.299999999999997</v>
      </c>
    </row>
    <row r="10" spans="1:43" s="149" customFormat="1" ht="20.149999999999999" customHeight="1" thickBot="1">
      <c r="A10" s="210" t="s">
        <v>799</v>
      </c>
      <c r="B10" s="210" t="s">
        <v>147</v>
      </c>
      <c r="C10" s="179">
        <f t="shared" ref="C10" si="19">SUM(C11:C18)</f>
        <v>-464.5</v>
      </c>
      <c r="D10" s="179">
        <f t="shared" ref="D10" si="20">SUM(D11:D18)</f>
        <v>-499.7</v>
      </c>
      <c r="E10" s="179">
        <f t="shared" ref="E10" si="21">SUM(E11:E18)</f>
        <v>-444.9</v>
      </c>
      <c r="F10" s="179">
        <f t="shared" ref="F10" si="22">SUM(F11:F18)</f>
        <v>-562.4</v>
      </c>
      <c r="G10" s="180">
        <f t="shared" ref="G10" si="23">SUM(G11:G18)</f>
        <v>-1971.5000000000002</v>
      </c>
      <c r="H10" s="181">
        <f t="shared" ref="H10" si="24">SUM(H11:H18)</f>
        <v>-512.92000000000007</v>
      </c>
      <c r="I10" s="179">
        <f t="shared" ref="I10" si="25">SUM(I11:I18)</f>
        <v>-542.4</v>
      </c>
      <c r="J10" s="179">
        <f t="shared" ref="J10" si="26">SUM(J11:J18)</f>
        <v>-510.7</v>
      </c>
      <c r="K10" s="179">
        <f t="shared" ref="K10" si="27">SUM(K11:K18)</f>
        <v>-591.70000000000005</v>
      </c>
      <c r="L10" s="180">
        <f t="shared" ref="L10" si="28">SUM(L11:L18)</f>
        <v>-2157.7199999999998</v>
      </c>
      <c r="M10" s="181">
        <f t="shared" ref="M10" si="29">SUM(M11:M18)</f>
        <v>-507.40000000000003</v>
      </c>
      <c r="N10" s="179">
        <f t="shared" ref="N10" si="30">SUM(N11:N18)</f>
        <v>-1351.8000000000002</v>
      </c>
      <c r="O10" s="179">
        <f t="shared" ref="O10" si="31">SUM(O11:O18)</f>
        <v>-1992.5000000000002</v>
      </c>
      <c r="P10" s="179">
        <f t="shared" ref="P10" si="32">SUM(P11:P18)</f>
        <v>-2125.3999999999996</v>
      </c>
      <c r="Q10" s="182">
        <f t="shared" ref="Q10" si="33">SUM(Q11:Q18)</f>
        <v>-5977.1</v>
      </c>
      <c r="R10" s="179">
        <f t="shared" ref="R10" si="34">SUM(R11:R18)</f>
        <v>-1909</v>
      </c>
      <c r="S10" s="179">
        <f t="shared" ref="S10" si="35">SUM(S11:S18)</f>
        <v>-1899.4999999999998</v>
      </c>
      <c r="T10" s="179">
        <f t="shared" ref="T10" si="36">SUM(T11:T18)</f>
        <v>-1900.1</v>
      </c>
      <c r="U10" s="179">
        <f t="shared" ref="U10" si="37">SUM(U11:U18)</f>
        <v>-2159.2999999999997</v>
      </c>
      <c r="V10" s="182">
        <f>SUM(V11:V18)</f>
        <v>-7867.9000000000005</v>
      </c>
      <c r="W10" s="179">
        <f t="shared" ref="W10:AB10" si="38">SUM(W11:W18)</f>
        <v>-1948</v>
      </c>
      <c r="X10" s="179">
        <f t="shared" si="38"/>
        <v>-2042</v>
      </c>
      <c r="Y10" s="252">
        <f t="shared" si="38"/>
        <v>-1938.6999999999998</v>
      </c>
      <c r="Z10" s="252">
        <f t="shared" si="38"/>
        <v>-2140.6</v>
      </c>
      <c r="AA10" s="182">
        <f t="shared" si="38"/>
        <v>-8069.2999999999993</v>
      </c>
      <c r="AB10" s="179">
        <f t="shared" si="38"/>
        <v>-1938.1999999999996</v>
      </c>
      <c r="AC10" s="179">
        <f t="shared" ref="AC10:AF10" si="39">SUM(AC11:AC18)</f>
        <v>-1962.8000000000002</v>
      </c>
      <c r="AD10" s="179">
        <f t="shared" si="39"/>
        <v>-1975.7</v>
      </c>
      <c r="AE10" s="179">
        <f t="shared" si="39"/>
        <v>-2139.1999999999998</v>
      </c>
      <c r="AF10" s="182">
        <f t="shared" si="39"/>
        <v>-8015.9</v>
      </c>
      <c r="AG10" s="179">
        <f>SUM(AG11:AG18)</f>
        <v>-1903.1000000000001</v>
      </c>
      <c r="AH10" s="179">
        <f>SUM(AH11:AH18)</f>
        <v>0</v>
      </c>
      <c r="AI10" s="179">
        <f>SUM(AI11:AI18)</f>
        <v>0</v>
      </c>
      <c r="AJ10" s="252">
        <f t="shared" ref="AJ10:AK10" si="40">SUM(AJ11:AJ18)</f>
        <v>0</v>
      </c>
      <c r="AK10" s="182">
        <f t="shared" si="40"/>
        <v>-1903.1000000000001</v>
      </c>
      <c r="AM10" s="181">
        <f>SUM(AM11:AM18)</f>
        <v>-1917.1000000000001</v>
      </c>
      <c r="AN10" s="179">
        <f>SUM(AN11:AN18)</f>
        <v>0</v>
      </c>
      <c r="AO10" s="179">
        <f>SUM(AO11:AO18)</f>
        <v>0</v>
      </c>
      <c r="AP10" s="252">
        <f t="shared" ref="AP10:AQ10" si="41">SUM(AP11:AP18)</f>
        <v>0</v>
      </c>
      <c r="AQ10" s="182">
        <f t="shared" si="41"/>
        <v>-1917.1000000000001</v>
      </c>
    </row>
    <row r="11" spans="1:43" ht="20.149999999999999" customHeight="1">
      <c r="A11" s="272" t="s">
        <v>803</v>
      </c>
      <c r="B11" s="161" t="s">
        <v>168</v>
      </c>
      <c r="C11" s="160">
        <v>-49.7</v>
      </c>
      <c r="D11" s="160">
        <v>-55.1</v>
      </c>
      <c r="E11" s="160">
        <v>-58.6</v>
      </c>
      <c r="F11" s="160">
        <v>-59.3</v>
      </c>
      <c r="G11" s="164">
        <f t="shared" ref="G11:G13" si="42">SUM(C11:F11)</f>
        <v>-222.7</v>
      </c>
      <c r="H11" s="159">
        <v>-60.7</v>
      </c>
      <c r="I11" s="160">
        <v>-62</v>
      </c>
      <c r="J11" s="160">
        <v>-62.2</v>
      </c>
      <c r="K11" s="160">
        <v>-71.400000000000006</v>
      </c>
      <c r="L11" s="164">
        <f t="shared" ref="L11:L13" si="43">SUM(H11:K11)</f>
        <v>-256.3</v>
      </c>
      <c r="M11" s="159">
        <v>-71.300000000000011</v>
      </c>
      <c r="N11" s="160">
        <v>-288</v>
      </c>
      <c r="O11" s="160">
        <v>-495.9</v>
      </c>
      <c r="P11" s="160">
        <v>-557.20000000000005</v>
      </c>
      <c r="Q11" s="167">
        <f t="shared" ref="Q11:Q13" si="44">SUM(M11:P11)</f>
        <v>-1412.4</v>
      </c>
      <c r="R11" s="160">
        <v>-482.3</v>
      </c>
      <c r="S11" s="160">
        <v>-522.4</v>
      </c>
      <c r="T11" s="160">
        <v>-551.20000000000005</v>
      </c>
      <c r="U11" s="206">
        <v>-585.09999999999991</v>
      </c>
      <c r="V11" s="167">
        <v>-2141</v>
      </c>
      <c r="W11" s="186">
        <v>-550.29999999999995</v>
      </c>
      <c r="X11" s="186">
        <v>-456.6</v>
      </c>
      <c r="Y11" s="253">
        <v>-459.2</v>
      </c>
      <c r="Z11" s="206">
        <v>-472.6</v>
      </c>
      <c r="AA11" s="167">
        <f t="shared" ref="AA11:AA13" si="45">SUM(W11:Z11)</f>
        <v>-1938.6999999999998</v>
      </c>
      <c r="AB11" s="186">
        <v>-468.2</v>
      </c>
      <c r="AC11" s="186">
        <v>-483.5</v>
      </c>
      <c r="AD11" s="186">
        <v>-528.5</v>
      </c>
      <c r="AE11" s="186">
        <v>-533.79999999999995</v>
      </c>
      <c r="AF11" s="167">
        <v>-2014</v>
      </c>
      <c r="AG11" s="186">
        <v>-504.5</v>
      </c>
      <c r="AH11" s="186"/>
      <c r="AI11" s="186"/>
      <c r="AJ11" s="253"/>
      <c r="AK11" s="167">
        <f t="shared" ref="AK11:AK19" si="46">SUM(AG11:AJ11)</f>
        <v>-504.5</v>
      </c>
      <c r="AL11" s="147"/>
      <c r="AM11" s="518">
        <v>-504.5</v>
      </c>
      <c r="AN11" s="186"/>
      <c r="AO11" s="253"/>
      <c r="AP11" s="253"/>
      <c r="AQ11" s="167">
        <f t="shared" ref="AQ11:AQ19" si="47">SUM(AM11:AP11)</f>
        <v>-504.5</v>
      </c>
    </row>
    <row r="12" spans="1:43" ht="18.75" customHeight="1">
      <c r="A12" s="269" t="s">
        <v>802</v>
      </c>
      <c r="B12" s="161" t="s">
        <v>157</v>
      </c>
      <c r="C12" s="160">
        <v>-54.4</v>
      </c>
      <c r="D12" s="160">
        <v>-56.7</v>
      </c>
      <c r="E12" s="160">
        <v>-60.2</v>
      </c>
      <c r="F12" s="160">
        <v>-71.7</v>
      </c>
      <c r="G12" s="164">
        <f t="shared" si="42"/>
        <v>-243</v>
      </c>
      <c r="H12" s="159">
        <v>-60.7</v>
      </c>
      <c r="I12" s="160">
        <v>-62.3</v>
      </c>
      <c r="J12" s="160">
        <v>-64.8</v>
      </c>
      <c r="K12" s="160">
        <v>-68.599999999999994</v>
      </c>
      <c r="L12" s="164">
        <f t="shared" si="43"/>
        <v>-256.39999999999998</v>
      </c>
      <c r="M12" s="159">
        <v>-62.5</v>
      </c>
      <c r="N12" s="160">
        <v>-311.3</v>
      </c>
      <c r="O12" s="160">
        <v>-478.3</v>
      </c>
      <c r="P12" s="160">
        <v>-443.8</v>
      </c>
      <c r="Q12" s="167">
        <f t="shared" si="44"/>
        <v>-1295.9000000000001</v>
      </c>
      <c r="R12" s="160">
        <v>-467.9</v>
      </c>
      <c r="S12" s="160">
        <v>-393.5</v>
      </c>
      <c r="T12" s="160">
        <v>-401.2</v>
      </c>
      <c r="U12" s="206">
        <v>-436.70000000000005</v>
      </c>
      <c r="V12" s="167">
        <v>-1699.3</v>
      </c>
      <c r="W12" s="186">
        <v>-423.7</v>
      </c>
      <c r="X12" s="186">
        <v>-527.5</v>
      </c>
      <c r="Y12" s="253">
        <v>-507.9</v>
      </c>
      <c r="Z12" s="206">
        <v>-512.4</v>
      </c>
      <c r="AA12" s="167">
        <f t="shared" si="45"/>
        <v>-1971.5</v>
      </c>
      <c r="AB12" s="186">
        <v>-472.3</v>
      </c>
      <c r="AC12" s="186">
        <v>-446.7</v>
      </c>
      <c r="AD12" s="186">
        <v>-429.2</v>
      </c>
      <c r="AE12" s="186">
        <v>-434.8</v>
      </c>
      <c r="AF12" s="167">
        <v>-1783</v>
      </c>
      <c r="AG12" s="186">
        <v>-454.5</v>
      </c>
      <c r="AH12" s="186"/>
      <c r="AI12" s="186"/>
      <c r="AJ12" s="253"/>
      <c r="AK12" s="167">
        <f t="shared" si="46"/>
        <v>-454.5</v>
      </c>
      <c r="AL12" s="147"/>
      <c r="AM12" s="518">
        <v>-454.5</v>
      </c>
      <c r="AN12" s="186"/>
      <c r="AO12" s="253"/>
      <c r="AP12" s="253"/>
      <c r="AQ12" s="167">
        <f t="shared" si="47"/>
        <v>-454.5</v>
      </c>
    </row>
    <row r="13" spans="1:43" ht="18.75" customHeight="1">
      <c r="A13" s="493" t="s">
        <v>805</v>
      </c>
      <c r="B13" s="161" t="s">
        <v>169</v>
      </c>
      <c r="C13" s="160">
        <v>-5.5</v>
      </c>
      <c r="D13" s="160">
        <v>-7.6</v>
      </c>
      <c r="E13" s="160">
        <v>-7</v>
      </c>
      <c r="F13" s="160">
        <v>-16.100000000000001</v>
      </c>
      <c r="G13" s="164">
        <f t="shared" si="42"/>
        <v>-36.200000000000003</v>
      </c>
      <c r="H13" s="159">
        <v>-25.8</v>
      </c>
      <c r="I13" s="160">
        <v>-16.8</v>
      </c>
      <c r="J13" s="160">
        <v>-10.7</v>
      </c>
      <c r="K13" s="160">
        <v>-10.6</v>
      </c>
      <c r="L13" s="164">
        <f t="shared" si="43"/>
        <v>-63.9</v>
      </c>
      <c r="M13" s="159">
        <v>-10.300000000000011</v>
      </c>
      <c r="N13" s="160">
        <v>-189.7</v>
      </c>
      <c r="O13" s="160">
        <v>-348.6</v>
      </c>
      <c r="P13" s="160">
        <v>-376.6</v>
      </c>
      <c r="Q13" s="167">
        <f t="shared" si="44"/>
        <v>-925.2</v>
      </c>
      <c r="R13" s="160">
        <v>-332.5</v>
      </c>
      <c r="S13" s="160">
        <v>-291.7</v>
      </c>
      <c r="T13" s="160">
        <v>-314.89999999999998</v>
      </c>
      <c r="U13" s="206">
        <v>-393.59999999999991</v>
      </c>
      <c r="V13" s="167">
        <v>-1332.8</v>
      </c>
      <c r="W13" s="186">
        <v>-326.8</v>
      </c>
      <c r="X13" s="186">
        <v>-317.3</v>
      </c>
      <c r="Y13" s="253">
        <v>-330.5</v>
      </c>
      <c r="Z13" s="206">
        <v>-380.1</v>
      </c>
      <c r="AA13" s="167">
        <f t="shared" si="45"/>
        <v>-1354.7</v>
      </c>
      <c r="AB13" s="186">
        <v>-323.60000000000002</v>
      </c>
      <c r="AC13" s="186">
        <v>-318.8</v>
      </c>
      <c r="AD13" s="186">
        <v>-323.3</v>
      </c>
      <c r="AE13" s="186">
        <v>-357.9</v>
      </c>
      <c r="AF13" s="167">
        <v>-1323.6</v>
      </c>
      <c r="AG13" s="186">
        <v>-258.5</v>
      </c>
      <c r="AH13" s="186"/>
      <c r="AI13" s="186"/>
      <c r="AJ13" s="253"/>
      <c r="AK13" s="167">
        <f t="shared" si="46"/>
        <v>-258.5</v>
      </c>
      <c r="AL13" s="147"/>
      <c r="AM13" s="518">
        <v>-272.5</v>
      </c>
      <c r="AN13" s="186"/>
      <c r="AO13" s="253"/>
      <c r="AP13" s="253"/>
      <c r="AQ13" s="167">
        <f t="shared" si="47"/>
        <v>-272.5</v>
      </c>
    </row>
    <row r="14" spans="1:43" ht="20.149999999999999" customHeight="1">
      <c r="A14" s="493" t="s">
        <v>800</v>
      </c>
      <c r="B14" s="161" t="s">
        <v>166</v>
      </c>
      <c r="C14" s="160">
        <v>-206.8</v>
      </c>
      <c r="D14" s="160">
        <v>-226.6</v>
      </c>
      <c r="E14" s="160">
        <v>-171.5</v>
      </c>
      <c r="F14" s="160">
        <v>-219</v>
      </c>
      <c r="G14" s="164">
        <f>SUM(C14:F14)</f>
        <v>-823.9</v>
      </c>
      <c r="H14" s="159">
        <v>-207.5</v>
      </c>
      <c r="I14" s="160">
        <v>-239.5</v>
      </c>
      <c r="J14" s="160">
        <v>-219.3</v>
      </c>
      <c r="K14" s="160">
        <v>-260.7</v>
      </c>
      <c r="L14" s="164">
        <f>SUM(H14:K14)</f>
        <v>-927</v>
      </c>
      <c r="M14" s="159">
        <v>-210.60000000000002</v>
      </c>
      <c r="N14" s="160">
        <v>-260.89999999999998</v>
      </c>
      <c r="O14" s="160">
        <v>-262.39999999999998</v>
      </c>
      <c r="P14" s="160">
        <v>-295.60000000000002</v>
      </c>
      <c r="Q14" s="167">
        <f>SUM(M14:P14)</f>
        <v>-1029.5</v>
      </c>
      <c r="R14" s="160">
        <v>-235.5</v>
      </c>
      <c r="S14" s="160">
        <v>-274</v>
      </c>
      <c r="T14" s="160">
        <v>-257.3</v>
      </c>
      <c r="U14" s="206">
        <v>-299.10000000000014</v>
      </c>
      <c r="V14" s="167">
        <v>-1065.9000000000001</v>
      </c>
      <c r="W14" s="186">
        <v>-248.5</v>
      </c>
      <c r="X14" s="186">
        <v>-316.3</v>
      </c>
      <c r="Y14" s="253">
        <v>-252.1</v>
      </c>
      <c r="Z14" s="206">
        <v>-297.3</v>
      </c>
      <c r="AA14" s="167">
        <f t="shared" si="15"/>
        <v>-1114.2</v>
      </c>
      <c r="AB14" s="186">
        <v>-264.3</v>
      </c>
      <c r="AC14" s="186">
        <v>-298.39999999999998</v>
      </c>
      <c r="AD14" s="186">
        <v>-269.7</v>
      </c>
      <c r="AE14" s="186">
        <v>-321.2</v>
      </c>
      <c r="AF14" s="167">
        <v>-1153.6000000000001</v>
      </c>
      <c r="AG14" s="186">
        <v>-269.39999999999998</v>
      </c>
      <c r="AH14" s="186"/>
      <c r="AI14" s="186"/>
      <c r="AJ14" s="253"/>
      <c r="AK14" s="167">
        <f t="shared" si="46"/>
        <v>-269.39999999999998</v>
      </c>
      <c r="AL14" s="147"/>
      <c r="AM14" s="518">
        <v>-269.39999999999998</v>
      </c>
      <c r="AN14" s="186"/>
      <c r="AO14" s="253"/>
      <c r="AP14" s="253"/>
      <c r="AQ14" s="167">
        <f t="shared" si="47"/>
        <v>-269.39999999999998</v>
      </c>
    </row>
    <row r="15" spans="1:43" ht="18.75" customHeight="1">
      <c r="A15" s="271" t="s">
        <v>801</v>
      </c>
      <c r="B15" s="161" t="s">
        <v>167</v>
      </c>
      <c r="C15" s="160">
        <v>-71.5</v>
      </c>
      <c r="D15" s="160">
        <v>-71.8</v>
      </c>
      <c r="E15" s="160">
        <v>-73.7</v>
      </c>
      <c r="F15" s="160">
        <v>-95.7</v>
      </c>
      <c r="G15" s="164">
        <f t="shared" ref="G15:G19" si="48">SUM(C15:F15)</f>
        <v>-312.7</v>
      </c>
      <c r="H15" s="159">
        <v>-79</v>
      </c>
      <c r="I15" s="160">
        <v>-81.3</v>
      </c>
      <c r="J15" s="160">
        <v>-79.3</v>
      </c>
      <c r="K15" s="160">
        <v>-92.4</v>
      </c>
      <c r="L15" s="164">
        <f t="shared" ref="L15:L19" si="49">SUM(H15:K15)</f>
        <v>-332</v>
      </c>
      <c r="M15" s="159">
        <v>-75.400000000000006</v>
      </c>
      <c r="N15" s="160">
        <v>-132.19999999999999</v>
      </c>
      <c r="O15" s="160">
        <v>-186.8</v>
      </c>
      <c r="P15" s="160">
        <v>-218.3</v>
      </c>
      <c r="Q15" s="167">
        <f t="shared" ref="Q15:Q19" si="50">SUM(M15:P15)</f>
        <v>-612.70000000000005</v>
      </c>
      <c r="R15" s="160">
        <v>-189.2</v>
      </c>
      <c r="S15" s="160">
        <v>-193.2</v>
      </c>
      <c r="T15" s="160">
        <v>-200.1</v>
      </c>
      <c r="U15" s="206">
        <v>-220.1</v>
      </c>
      <c r="V15" s="167">
        <v>-802.6</v>
      </c>
      <c r="W15" s="186">
        <v>-200.5</v>
      </c>
      <c r="X15" s="186">
        <v>-202.2</v>
      </c>
      <c r="Y15" s="253">
        <v>-202.6</v>
      </c>
      <c r="Z15" s="206">
        <v>-222.5</v>
      </c>
      <c r="AA15" s="167">
        <f t="shared" si="15"/>
        <v>-827.8</v>
      </c>
      <c r="AB15" s="186">
        <v>-211.1</v>
      </c>
      <c r="AC15" s="186">
        <v>-215.9</v>
      </c>
      <c r="AD15" s="186">
        <v>-224</v>
      </c>
      <c r="AE15" s="186">
        <v>-243.3</v>
      </c>
      <c r="AF15" s="167">
        <v>-894.3</v>
      </c>
      <c r="AG15" s="186">
        <v>-205.2</v>
      </c>
      <c r="AH15" s="186"/>
      <c r="AI15" s="253"/>
      <c r="AJ15" s="253"/>
      <c r="AK15" s="167">
        <f t="shared" si="46"/>
        <v>-205.2</v>
      </c>
      <c r="AL15" s="147"/>
      <c r="AM15" s="518">
        <v>-205.2</v>
      </c>
      <c r="AN15" s="186"/>
      <c r="AO15" s="253"/>
      <c r="AP15" s="253"/>
      <c r="AQ15" s="167">
        <f t="shared" si="47"/>
        <v>-205.2</v>
      </c>
    </row>
    <row r="16" spans="1:43" ht="20.149999999999999" customHeight="1">
      <c r="A16" s="269" t="s">
        <v>804</v>
      </c>
      <c r="B16" s="161" t="s">
        <v>3</v>
      </c>
      <c r="C16" s="160">
        <v>-40.6</v>
      </c>
      <c r="D16" s="160">
        <v>-40.299999999999997</v>
      </c>
      <c r="E16" s="160">
        <v>-38.9</v>
      </c>
      <c r="F16" s="160">
        <v>-58.6</v>
      </c>
      <c r="G16" s="164">
        <f t="shared" si="48"/>
        <v>-178.4</v>
      </c>
      <c r="H16" s="159">
        <v>-43.1</v>
      </c>
      <c r="I16" s="160">
        <v>-41.9</v>
      </c>
      <c r="J16" s="160">
        <v>-40.4</v>
      </c>
      <c r="K16" s="160">
        <v>-53.2</v>
      </c>
      <c r="L16" s="164">
        <f t="shared" si="49"/>
        <v>-178.60000000000002</v>
      </c>
      <c r="M16" s="159">
        <v>-44.600000000000009</v>
      </c>
      <c r="N16" s="160">
        <v>-108.2</v>
      </c>
      <c r="O16" s="160">
        <v>-118</v>
      </c>
      <c r="P16" s="160">
        <v>-150.9</v>
      </c>
      <c r="Q16" s="167">
        <f t="shared" si="50"/>
        <v>-421.70000000000005</v>
      </c>
      <c r="R16" s="160">
        <v>-129.1</v>
      </c>
      <c r="S16" s="160">
        <v>-140.80000000000001</v>
      </c>
      <c r="T16" s="160">
        <v>-122.3</v>
      </c>
      <c r="U16" s="206">
        <v>-158.00000000000006</v>
      </c>
      <c r="V16" s="167">
        <v>-550.20000000000005</v>
      </c>
      <c r="W16" s="186">
        <v>-137.9</v>
      </c>
      <c r="X16" s="186">
        <v>-138.19999999999999</v>
      </c>
      <c r="Y16" s="253">
        <v>-130.5</v>
      </c>
      <c r="Z16" s="206">
        <v>-163.9</v>
      </c>
      <c r="AA16" s="167">
        <f t="shared" si="15"/>
        <v>-570.5</v>
      </c>
      <c r="AB16" s="186">
        <v>-127.8</v>
      </c>
      <c r="AC16" s="186">
        <v>-133.69999999999999</v>
      </c>
      <c r="AD16" s="186">
        <v>-127.4</v>
      </c>
      <c r="AE16" s="186">
        <v>-164.2</v>
      </c>
      <c r="AF16" s="167">
        <v>-553.09999999999991</v>
      </c>
      <c r="AG16" s="186">
        <v>-143.80000000000001</v>
      </c>
      <c r="AH16" s="186"/>
      <c r="AI16" s="253"/>
      <c r="AJ16" s="253"/>
      <c r="AK16" s="167">
        <f t="shared" si="46"/>
        <v>-143.80000000000001</v>
      </c>
      <c r="AL16" s="147"/>
      <c r="AM16" s="518">
        <v>-143.80000000000001</v>
      </c>
      <c r="AN16" s="186"/>
      <c r="AO16" s="253"/>
      <c r="AP16" s="253"/>
      <c r="AQ16" s="167">
        <f t="shared" si="47"/>
        <v>-143.80000000000001</v>
      </c>
    </row>
    <row r="17" spans="1:43" ht="24.75" customHeight="1">
      <c r="A17" s="269" t="s">
        <v>806</v>
      </c>
      <c r="B17" s="161" t="s">
        <v>170</v>
      </c>
      <c r="C17" s="160">
        <v>-5.9</v>
      </c>
      <c r="D17" s="160">
        <v>-8.4</v>
      </c>
      <c r="E17" s="160">
        <v>-5.3</v>
      </c>
      <c r="F17" s="160">
        <v>-7.8</v>
      </c>
      <c r="G17" s="164">
        <f t="shared" si="48"/>
        <v>-27.400000000000002</v>
      </c>
      <c r="H17" s="159">
        <v>-6.42</v>
      </c>
      <c r="I17" s="160">
        <v>-9.3000000000000007</v>
      </c>
      <c r="J17" s="160">
        <v>-5.3</v>
      </c>
      <c r="K17" s="160">
        <v>-7.2</v>
      </c>
      <c r="L17" s="164">
        <f t="shared" si="49"/>
        <v>-28.22</v>
      </c>
      <c r="M17" s="159">
        <v>-6.6999999999999993</v>
      </c>
      <c r="N17" s="160">
        <v>-18.100000000000001</v>
      </c>
      <c r="O17" s="160">
        <v>-15.3</v>
      </c>
      <c r="P17" s="160">
        <v>-27.5</v>
      </c>
      <c r="Q17" s="167">
        <f t="shared" si="50"/>
        <v>-67.599999999999994</v>
      </c>
      <c r="R17" s="160">
        <v>-18.7</v>
      </c>
      <c r="S17" s="160">
        <v>-27.8</v>
      </c>
      <c r="T17" s="160">
        <v>-8.5</v>
      </c>
      <c r="U17" s="206">
        <v>-7.6000000000000014</v>
      </c>
      <c r="V17" s="167">
        <v>-62.6</v>
      </c>
      <c r="W17" s="186">
        <v>-9.6</v>
      </c>
      <c r="X17" s="186">
        <v>-16.3</v>
      </c>
      <c r="Y17" s="253">
        <v>-5.7</v>
      </c>
      <c r="Z17" s="206">
        <v>-15.3</v>
      </c>
      <c r="AA17" s="167">
        <f t="shared" si="15"/>
        <v>-46.9</v>
      </c>
      <c r="AB17" s="186">
        <v>-19.3</v>
      </c>
      <c r="AC17" s="186">
        <v>-16.3</v>
      </c>
      <c r="AD17" s="186">
        <v>-21.3</v>
      </c>
      <c r="AE17" s="186">
        <v>-10.5</v>
      </c>
      <c r="AF17" s="167">
        <v>-67.400000000000006</v>
      </c>
      <c r="AG17" s="186">
        <v>-11.9</v>
      </c>
      <c r="AH17" s="186"/>
      <c r="AI17" s="253"/>
      <c r="AJ17" s="253"/>
      <c r="AK17" s="167">
        <f t="shared" si="46"/>
        <v>-11.9</v>
      </c>
      <c r="AL17" s="147"/>
      <c r="AM17" s="518">
        <v>-11.9</v>
      </c>
      <c r="AN17" s="186"/>
      <c r="AO17" s="253"/>
      <c r="AP17" s="253"/>
      <c r="AQ17" s="167">
        <f t="shared" si="47"/>
        <v>-11.9</v>
      </c>
    </row>
    <row r="18" spans="1:43" ht="18.75" customHeight="1">
      <c r="A18" s="269" t="s">
        <v>807</v>
      </c>
      <c r="B18" s="161" t="s">
        <v>171</v>
      </c>
      <c r="C18" s="160">
        <v>-30.1</v>
      </c>
      <c r="D18" s="160">
        <v>-33.200000000000003</v>
      </c>
      <c r="E18" s="160">
        <v>-29.7</v>
      </c>
      <c r="F18" s="160">
        <v>-34.200000000000003</v>
      </c>
      <c r="G18" s="164">
        <f t="shared" si="48"/>
        <v>-127.2</v>
      </c>
      <c r="H18" s="159">
        <v>-29.7</v>
      </c>
      <c r="I18" s="160">
        <v>-29.3</v>
      </c>
      <c r="J18" s="160">
        <v>-28.7</v>
      </c>
      <c r="K18" s="160">
        <v>-27.6</v>
      </c>
      <c r="L18" s="164">
        <f t="shared" si="49"/>
        <v>-115.30000000000001</v>
      </c>
      <c r="M18" s="159">
        <v>-26.000000000000007</v>
      </c>
      <c r="N18" s="160">
        <v>-43.4</v>
      </c>
      <c r="O18" s="160">
        <v>-87.2</v>
      </c>
      <c r="P18" s="160">
        <v>-55.5</v>
      </c>
      <c r="Q18" s="167">
        <f t="shared" si="50"/>
        <v>-212.10000000000002</v>
      </c>
      <c r="R18" s="160">
        <v>-53.8</v>
      </c>
      <c r="S18" s="160">
        <v>-56.1</v>
      </c>
      <c r="T18" s="160">
        <v>-44.6</v>
      </c>
      <c r="U18" s="206">
        <v>-59.099999999999994</v>
      </c>
      <c r="V18" s="167">
        <v>-213.5</v>
      </c>
      <c r="W18" s="186">
        <v>-50.7</v>
      </c>
      <c r="X18" s="186">
        <v>-67.599999999999994</v>
      </c>
      <c r="Y18" s="253">
        <v>-50.2</v>
      </c>
      <c r="Z18" s="206">
        <v>-76.5</v>
      </c>
      <c r="AA18" s="167">
        <f t="shared" si="15"/>
        <v>-245</v>
      </c>
      <c r="AB18" s="186">
        <v>-51.6</v>
      </c>
      <c r="AC18" s="186">
        <v>-49.5</v>
      </c>
      <c r="AD18" s="186">
        <v>-52.3</v>
      </c>
      <c r="AE18" s="186">
        <v>-73.5</v>
      </c>
      <c r="AF18" s="167">
        <v>-226.89999999999998</v>
      </c>
      <c r="AG18" s="186">
        <v>-55.3</v>
      </c>
      <c r="AH18" s="186"/>
      <c r="AI18" s="253"/>
      <c r="AJ18" s="253"/>
      <c r="AK18" s="167">
        <f t="shared" si="46"/>
        <v>-55.3</v>
      </c>
      <c r="AL18" s="147"/>
      <c r="AM18" s="518">
        <v>-55.3</v>
      </c>
      <c r="AN18" s="186"/>
      <c r="AO18" s="253"/>
      <c r="AP18" s="253"/>
      <c r="AQ18" s="167">
        <f t="shared" si="47"/>
        <v>-55.3</v>
      </c>
    </row>
    <row r="19" spans="1:43" s="148" customFormat="1" ht="20.149999999999999" customHeight="1" thickBot="1">
      <c r="A19" s="273" t="s">
        <v>808</v>
      </c>
      <c r="B19" s="162" t="s">
        <v>172</v>
      </c>
      <c r="C19" s="173">
        <v>-1.7</v>
      </c>
      <c r="D19" s="173">
        <v>-1.1000000000000001</v>
      </c>
      <c r="E19" s="173">
        <v>-2</v>
      </c>
      <c r="F19" s="173">
        <v>-12.7</v>
      </c>
      <c r="G19" s="165">
        <f t="shared" si="48"/>
        <v>-17.5</v>
      </c>
      <c r="H19" s="174">
        <v>0.5</v>
      </c>
      <c r="I19" s="173">
        <v>1.5</v>
      </c>
      <c r="J19" s="173">
        <v>36.799999999999997</v>
      </c>
      <c r="K19" s="173">
        <v>-2</v>
      </c>
      <c r="L19" s="165">
        <f t="shared" si="49"/>
        <v>36.799999999999997</v>
      </c>
      <c r="M19" s="174">
        <v>3.6</v>
      </c>
      <c r="N19" s="173">
        <v>3.5</v>
      </c>
      <c r="O19" s="173">
        <v>4.7</v>
      </c>
      <c r="P19" s="173">
        <v>-2.2000000000000002</v>
      </c>
      <c r="Q19" s="168">
        <f t="shared" si="50"/>
        <v>9.6000000000000014</v>
      </c>
      <c r="R19" s="173">
        <v>8.6999999999999993</v>
      </c>
      <c r="S19" s="173">
        <v>13.8</v>
      </c>
      <c r="T19" s="173">
        <v>14.4</v>
      </c>
      <c r="U19" s="173">
        <v>-6.2</v>
      </c>
      <c r="V19" s="168">
        <v>30.7</v>
      </c>
      <c r="W19" s="196">
        <v>6.8</v>
      </c>
      <c r="X19" s="196">
        <v>6.6</v>
      </c>
      <c r="Y19" s="254">
        <v>0</v>
      </c>
      <c r="Z19" s="173">
        <v>-4.5999999999999996</v>
      </c>
      <c r="AA19" s="168">
        <f t="shared" si="15"/>
        <v>8.7999999999999989</v>
      </c>
      <c r="AB19" s="196">
        <v>6.8</v>
      </c>
      <c r="AC19" s="196">
        <v>9.9</v>
      </c>
      <c r="AD19" s="196">
        <v>6.7</v>
      </c>
      <c r="AE19" s="196">
        <v>-2.1</v>
      </c>
      <c r="AF19" s="168">
        <v>21.299999999999997</v>
      </c>
      <c r="AG19" s="196">
        <v>6.7</v>
      </c>
      <c r="AH19" s="196"/>
      <c r="AI19" s="196"/>
      <c r="AJ19" s="196"/>
      <c r="AK19" s="168">
        <f t="shared" si="46"/>
        <v>6.7</v>
      </c>
      <c r="AM19" s="527">
        <v>6.7</v>
      </c>
      <c r="AN19" s="196"/>
      <c r="AO19" s="196"/>
      <c r="AP19" s="196"/>
      <c r="AQ19" s="168">
        <f t="shared" si="47"/>
        <v>6.7</v>
      </c>
    </row>
    <row r="20" spans="1:43" s="149" customFormat="1" ht="20.149999999999999" customHeight="1" thickBot="1">
      <c r="A20" s="210" t="s">
        <v>809</v>
      </c>
      <c r="B20" s="210" t="s">
        <v>88</v>
      </c>
      <c r="C20" s="179">
        <f t="shared" ref="C20:AB20" si="51">C5+C10+C19</f>
        <v>203.00000000000006</v>
      </c>
      <c r="D20" s="179">
        <f t="shared" si="51"/>
        <v>212.99999999999997</v>
      </c>
      <c r="E20" s="179">
        <f t="shared" si="51"/>
        <v>197.60000000000002</v>
      </c>
      <c r="F20" s="179">
        <f t="shared" si="51"/>
        <v>175.50000000000017</v>
      </c>
      <c r="G20" s="183">
        <f t="shared" si="51"/>
        <v>789.09999999999923</v>
      </c>
      <c r="H20" s="177">
        <f t="shared" si="51"/>
        <v>184.67999999999995</v>
      </c>
      <c r="I20" s="175">
        <f t="shared" si="51"/>
        <v>195</v>
      </c>
      <c r="J20" s="175">
        <f t="shared" si="51"/>
        <v>203.39999999999998</v>
      </c>
      <c r="K20" s="175">
        <f t="shared" si="51"/>
        <v>206.79999999999995</v>
      </c>
      <c r="L20" s="183">
        <f t="shared" si="51"/>
        <v>789.88000000000034</v>
      </c>
      <c r="M20" s="177">
        <f t="shared" si="51"/>
        <v>219.4999999999998</v>
      </c>
      <c r="N20" s="175">
        <f t="shared" si="51"/>
        <v>397.59999999999991</v>
      </c>
      <c r="O20" s="175">
        <f t="shared" si="51"/>
        <v>431.79999999999967</v>
      </c>
      <c r="P20" s="175">
        <f t="shared" si="51"/>
        <v>393.50000000000074</v>
      </c>
      <c r="Q20" s="184">
        <f t="shared" si="51"/>
        <v>1442.3999999999992</v>
      </c>
      <c r="R20" s="175">
        <f t="shared" si="51"/>
        <v>428.7</v>
      </c>
      <c r="S20" s="175">
        <f t="shared" si="51"/>
        <v>583.5</v>
      </c>
      <c r="T20" s="175">
        <f t="shared" si="51"/>
        <v>529.1999999999997</v>
      </c>
      <c r="U20" s="175">
        <f t="shared" si="51"/>
        <v>444.40000000000038</v>
      </c>
      <c r="V20" s="184">
        <f t="shared" si="51"/>
        <v>1985.7999999999995</v>
      </c>
      <c r="W20" s="175">
        <f t="shared" si="51"/>
        <v>422.8</v>
      </c>
      <c r="X20" s="175">
        <f t="shared" si="51"/>
        <v>407.50000000000011</v>
      </c>
      <c r="Y20" s="250">
        <f t="shared" si="51"/>
        <v>449.10000000000036</v>
      </c>
      <c r="Z20" s="250">
        <f t="shared" si="51"/>
        <v>389.9</v>
      </c>
      <c r="AA20" s="184">
        <f t="shared" si="51"/>
        <v>1669.3</v>
      </c>
      <c r="AB20" s="175">
        <f t="shared" si="51"/>
        <v>457.20000000000033</v>
      </c>
      <c r="AC20" s="175">
        <f t="shared" ref="AC20:AG20" si="52">AC5+AC10+AC19</f>
        <v>516.99999999999989</v>
      </c>
      <c r="AD20" s="175">
        <f t="shared" si="52"/>
        <v>421.90000000000003</v>
      </c>
      <c r="AE20" s="175">
        <f t="shared" si="52"/>
        <v>437.9</v>
      </c>
      <c r="AF20" s="184">
        <f t="shared" si="52"/>
        <v>1834.0000000000007</v>
      </c>
      <c r="AG20" s="175">
        <f t="shared" si="52"/>
        <v>464.29999999999967</v>
      </c>
      <c r="AH20" s="175">
        <f>AH5+AH10+AH19</f>
        <v>0</v>
      </c>
      <c r="AI20" s="175">
        <f>AI5+AI10+AI19</f>
        <v>0</v>
      </c>
      <c r="AJ20" s="250">
        <f t="shared" ref="AJ20:AK20" si="53">AJ5+AJ10+AJ19</f>
        <v>0</v>
      </c>
      <c r="AK20" s="184">
        <f t="shared" si="53"/>
        <v>464.29999999999967</v>
      </c>
      <c r="AM20" s="177">
        <f t="shared" ref="AM20" si="54">AM5+AM10+AM19</f>
        <v>435.49999999999994</v>
      </c>
      <c r="AN20" s="175">
        <f>AN5+AN10+AN19</f>
        <v>0</v>
      </c>
      <c r="AO20" s="175">
        <f>AO5+AO10+AO19</f>
        <v>0</v>
      </c>
      <c r="AP20" s="250">
        <f t="shared" ref="AP20:AQ20" si="55">AP5+AP10+AP19</f>
        <v>0</v>
      </c>
      <c r="AQ20" s="184">
        <f t="shared" si="55"/>
        <v>435.49999999999994</v>
      </c>
    </row>
    <row r="21" spans="1:43" ht="20.149999999999999" customHeight="1">
      <c r="A21" s="274" t="s">
        <v>810</v>
      </c>
      <c r="B21" s="161" t="s">
        <v>752</v>
      </c>
      <c r="C21" s="160">
        <v>12.5</v>
      </c>
      <c r="D21" s="160">
        <v>-8.5</v>
      </c>
      <c r="E21" s="160">
        <v>5.3</v>
      </c>
      <c r="F21" s="160">
        <v>5</v>
      </c>
      <c r="G21" s="164">
        <f>SUM(C21:F21)</f>
        <v>14.3</v>
      </c>
      <c r="H21" s="159">
        <v>3.9</v>
      </c>
      <c r="I21" s="160">
        <v>0.7</v>
      </c>
      <c r="J21" s="160">
        <v>7.4</v>
      </c>
      <c r="K21" s="160">
        <v>4.0999999999999996</v>
      </c>
      <c r="L21" s="164">
        <f>SUM(H21:K21)</f>
        <v>16.100000000000001</v>
      </c>
      <c r="M21" s="159">
        <v>1.2000000000000028</v>
      </c>
      <c r="N21" s="160">
        <v>23.9</v>
      </c>
      <c r="O21" s="160">
        <v>1.5</v>
      </c>
      <c r="P21" s="160">
        <v>-11.4</v>
      </c>
      <c r="Q21" s="167">
        <f>SUM(M21:P21)</f>
        <v>15.200000000000001</v>
      </c>
      <c r="R21" s="160">
        <v>28.9</v>
      </c>
      <c r="S21" s="160">
        <v>-11.9</v>
      </c>
      <c r="T21" s="160">
        <v>-5.2</v>
      </c>
      <c r="U21" s="206">
        <v>-3.2</v>
      </c>
      <c r="V21" s="167">
        <v>8.6000000000000014</v>
      </c>
      <c r="W21" s="186">
        <v>-35.200000000000003</v>
      </c>
      <c r="X21" s="186">
        <v>-21.4</v>
      </c>
      <c r="Y21" s="253">
        <v>13.1</v>
      </c>
      <c r="Z21" s="206">
        <v>-26.3</v>
      </c>
      <c r="AA21" s="167">
        <f t="shared" si="15"/>
        <v>-69.8</v>
      </c>
      <c r="AB21" s="186">
        <v>30.5</v>
      </c>
      <c r="AC21" s="186">
        <v>-14.4</v>
      </c>
      <c r="AD21" s="186">
        <v>-28</v>
      </c>
      <c r="AE21" s="186">
        <v>19.100000000000001</v>
      </c>
      <c r="AF21" s="167">
        <v>7.2000000000000028</v>
      </c>
      <c r="AG21" s="186">
        <v>-3.4</v>
      </c>
      <c r="AH21" s="186"/>
      <c r="AI21" s="253"/>
      <c r="AJ21" s="253"/>
      <c r="AK21" s="167">
        <f t="shared" ref="AK21:AK22" si="56">SUM(AG21:AJ21)</f>
        <v>-3.4</v>
      </c>
      <c r="AL21" s="147"/>
      <c r="AM21" s="518">
        <v>-3.4</v>
      </c>
      <c r="AN21" s="186"/>
      <c r="AO21" s="253"/>
      <c r="AP21" s="253"/>
      <c r="AQ21" s="167">
        <f t="shared" ref="AQ21:AQ22" si="57">SUM(AM21:AP21)</f>
        <v>-3.4</v>
      </c>
    </row>
    <row r="22" spans="1:43" ht="20.149999999999999" customHeight="1">
      <c r="A22" s="275" t="s">
        <v>811</v>
      </c>
      <c r="B22" s="161" t="s">
        <v>173</v>
      </c>
      <c r="C22" s="160">
        <v>30.1</v>
      </c>
      <c r="D22" s="160">
        <v>-92.4</v>
      </c>
      <c r="E22" s="160">
        <v>-5.2</v>
      </c>
      <c r="F22" s="160">
        <v>-43.1</v>
      </c>
      <c r="G22" s="164">
        <f t="shared" ref="G22:G23" si="58">SUM(C22:F22)</f>
        <v>-110.6</v>
      </c>
      <c r="H22" s="159">
        <v>-80.099999999999994</v>
      </c>
      <c r="I22" s="160">
        <v>-102.4</v>
      </c>
      <c r="J22" s="160">
        <v>-10.7</v>
      </c>
      <c r="K22" s="160">
        <v>-22.8</v>
      </c>
      <c r="L22" s="164">
        <f t="shared" ref="L22:L23" si="59">SUM(H22:K22)</f>
        <v>-216</v>
      </c>
      <c r="M22" s="159">
        <v>-108.70000000000005</v>
      </c>
      <c r="N22" s="160">
        <v>-273.39999999999998</v>
      </c>
      <c r="O22" s="160">
        <v>-384.7</v>
      </c>
      <c r="P22" s="160">
        <v>-379.2</v>
      </c>
      <c r="Q22" s="167">
        <f t="shared" ref="Q22:Q23" si="60">SUM(M22:P22)</f>
        <v>-1146</v>
      </c>
      <c r="R22" s="160">
        <v>-261.3</v>
      </c>
      <c r="S22" s="160">
        <v>-222.1</v>
      </c>
      <c r="T22" s="160">
        <v>88.8</v>
      </c>
      <c r="U22" s="206">
        <v>-270</v>
      </c>
      <c r="V22" s="167">
        <v>-664.59999999999991</v>
      </c>
      <c r="W22" s="186">
        <v>-182.7</v>
      </c>
      <c r="X22" s="186">
        <v>-133.19999999999999</v>
      </c>
      <c r="Y22" s="253">
        <v>-127.3</v>
      </c>
      <c r="Z22" s="206">
        <v>-122.9</v>
      </c>
      <c r="AA22" s="167">
        <f t="shared" si="15"/>
        <v>-566.1</v>
      </c>
      <c r="AB22" s="186">
        <v>-185.5</v>
      </c>
      <c r="AC22" s="186">
        <v>-113.3</v>
      </c>
      <c r="AD22" s="186">
        <v>-104.8</v>
      </c>
      <c r="AE22" s="186">
        <v>-105.4</v>
      </c>
      <c r="AF22" s="167">
        <v>-509</v>
      </c>
      <c r="AG22" s="186">
        <v>-72.599999999999994</v>
      </c>
      <c r="AH22" s="186"/>
      <c r="AI22" s="253"/>
      <c r="AJ22" s="253"/>
      <c r="AK22" s="167">
        <f t="shared" si="56"/>
        <v>-72.599999999999994</v>
      </c>
      <c r="AL22" s="147"/>
      <c r="AM22" s="518">
        <v>-72.599999999999994</v>
      </c>
      <c r="AN22" s="186"/>
      <c r="AO22" s="253"/>
      <c r="AP22" s="253"/>
      <c r="AQ22" s="167">
        <f t="shared" si="57"/>
        <v>-72.599999999999994</v>
      </c>
    </row>
    <row r="23" spans="1:43" ht="26">
      <c r="A23" s="513" t="s">
        <v>1034</v>
      </c>
      <c r="B23" s="161" t="s">
        <v>1035</v>
      </c>
      <c r="C23" s="160">
        <v>0.7</v>
      </c>
      <c r="D23" s="160">
        <v>0.8</v>
      </c>
      <c r="E23" s="160">
        <v>0.5</v>
      </c>
      <c r="F23" s="160">
        <v>0.8</v>
      </c>
      <c r="G23" s="164">
        <f t="shared" si="58"/>
        <v>2.8</v>
      </c>
      <c r="H23" s="159">
        <v>0.8</v>
      </c>
      <c r="I23" s="160">
        <v>0.8</v>
      </c>
      <c r="J23" s="160">
        <v>0.7</v>
      </c>
      <c r="K23" s="160">
        <v>0.6</v>
      </c>
      <c r="L23" s="164">
        <f t="shared" si="59"/>
        <v>2.9</v>
      </c>
      <c r="M23" s="159">
        <v>0.60000000000000009</v>
      </c>
      <c r="N23" s="160">
        <v>0.7</v>
      </c>
      <c r="O23" s="160">
        <v>0.7</v>
      </c>
      <c r="P23" s="160">
        <v>0.6</v>
      </c>
      <c r="Q23" s="167">
        <f t="shared" si="60"/>
        <v>2.6</v>
      </c>
      <c r="R23" s="160">
        <v>0.5</v>
      </c>
      <c r="S23" s="160">
        <v>0.9</v>
      </c>
      <c r="T23" s="160">
        <v>0.5</v>
      </c>
      <c r="U23" s="206">
        <v>0.70000000000000018</v>
      </c>
      <c r="V23" s="167">
        <v>2.6</v>
      </c>
      <c r="W23" s="186">
        <v>0.8</v>
      </c>
      <c r="X23" s="186">
        <v>-0.8</v>
      </c>
      <c r="Y23" s="255">
        <v>0</v>
      </c>
      <c r="Z23" s="255">
        <v>0</v>
      </c>
      <c r="AA23" s="492">
        <f t="shared" si="15"/>
        <v>0</v>
      </c>
      <c r="AB23" s="495">
        <v>0</v>
      </c>
      <c r="AC23" s="495">
        <v>0</v>
      </c>
      <c r="AD23" s="495">
        <v>0</v>
      </c>
      <c r="AE23" s="495">
        <v>0</v>
      </c>
      <c r="AF23" s="492">
        <v>0</v>
      </c>
      <c r="AG23" s="255">
        <v>0</v>
      </c>
      <c r="AH23" s="255"/>
      <c r="AI23" s="255"/>
      <c r="AJ23" s="255"/>
      <c r="AK23" s="492">
        <v>0</v>
      </c>
      <c r="AL23" s="147"/>
      <c r="AM23" s="519">
        <v>0</v>
      </c>
      <c r="AN23" s="255"/>
      <c r="AO23" s="255"/>
      <c r="AP23" s="255"/>
      <c r="AQ23" s="492">
        <v>0</v>
      </c>
    </row>
    <row r="24" spans="1:43" ht="26.5" thickBot="1">
      <c r="A24" s="514" t="s">
        <v>1036</v>
      </c>
      <c r="B24" s="161" t="s">
        <v>1037</v>
      </c>
      <c r="C24" s="160"/>
      <c r="D24" s="160"/>
      <c r="E24" s="160"/>
      <c r="F24" s="160"/>
      <c r="G24" s="164"/>
      <c r="H24" s="159"/>
      <c r="I24" s="160"/>
      <c r="J24" s="160"/>
      <c r="K24" s="160"/>
      <c r="L24" s="164"/>
      <c r="M24" s="159"/>
      <c r="N24" s="160"/>
      <c r="O24" s="160"/>
      <c r="P24" s="160"/>
      <c r="Q24" s="167"/>
      <c r="R24" s="160"/>
      <c r="S24" s="160"/>
      <c r="T24" s="160"/>
      <c r="U24" s="206"/>
      <c r="V24" s="167"/>
      <c r="W24" s="186"/>
      <c r="X24" s="186"/>
      <c r="Y24" s="255"/>
      <c r="Z24" s="255">
        <v>0</v>
      </c>
      <c r="AA24" s="492">
        <v>0</v>
      </c>
      <c r="AB24" s="495"/>
      <c r="AC24" s="495"/>
      <c r="AD24" s="495"/>
      <c r="AE24" s="255">
        <v>2.8</v>
      </c>
      <c r="AF24" s="492">
        <f t="shared" ref="AF24" si="61">SUM(AB24:AE24)</f>
        <v>2.8</v>
      </c>
      <c r="AG24" s="255">
        <v>5.2</v>
      </c>
      <c r="AH24" s="255"/>
      <c r="AI24" s="255"/>
      <c r="AJ24" s="255"/>
      <c r="AK24" s="492">
        <f t="shared" ref="AK24" si="62">SUM(AG24:AJ24)</f>
        <v>5.2</v>
      </c>
      <c r="AL24" s="147"/>
      <c r="AM24" s="519">
        <v>5.2</v>
      </c>
      <c r="AN24" s="255"/>
      <c r="AO24" s="255"/>
      <c r="AP24" s="255"/>
      <c r="AQ24" s="492">
        <f t="shared" ref="AQ24" si="63">SUM(AM24:AP24)</f>
        <v>5.2</v>
      </c>
    </row>
    <row r="25" spans="1:43" s="149" customFormat="1" ht="20.149999999999999" customHeight="1" thickBot="1">
      <c r="A25" s="210" t="s">
        <v>812</v>
      </c>
      <c r="B25" s="210" t="s">
        <v>784</v>
      </c>
      <c r="C25" s="175">
        <f>C20+C21+C22+C23</f>
        <v>246.30000000000004</v>
      </c>
      <c r="D25" s="175">
        <f t="shared" ref="D25:N25" si="64">D20+D21+D22+D23</f>
        <v>112.89999999999996</v>
      </c>
      <c r="E25" s="175">
        <f t="shared" si="64"/>
        <v>198.20000000000005</v>
      </c>
      <c r="F25" s="175">
        <f t="shared" si="64"/>
        <v>138.20000000000019</v>
      </c>
      <c r="G25" s="183">
        <f t="shared" si="64"/>
        <v>695.59999999999911</v>
      </c>
      <c r="H25" s="177">
        <f t="shared" si="64"/>
        <v>109.27999999999996</v>
      </c>
      <c r="I25" s="175">
        <f t="shared" si="64"/>
        <v>94.09999999999998</v>
      </c>
      <c r="J25" s="175">
        <f t="shared" si="64"/>
        <v>200.79999999999998</v>
      </c>
      <c r="K25" s="175">
        <f t="shared" si="64"/>
        <v>188.69999999999993</v>
      </c>
      <c r="L25" s="183">
        <f t="shared" si="64"/>
        <v>592.88000000000034</v>
      </c>
      <c r="M25" s="177">
        <f t="shared" si="64"/>
        <v>112.59999999999977</v>
      </c>
      <c r="N25" s="175">
        <f t="shared" si="64"/>
        <v>148.7999999999999</v>
      </c>
      <c r="O25" s="175">
        <f t="shared" ref="O25" si="65">O20+O21+O22+O23</f>
        <v>49.299999999999685</v>
      </c>
      <c r="P25" s="175">
        <f t="shared" ref="P25" si="66">P20+P21+P22+P23</f>
        <v>3.5000000000007732</v>
      </c>
      <c r="Q25" s="184">
        <f t="shared" ref="Q25:W25" si="67">Q20+Q21+Q22+Q23</f>
        <v>314.19999999999925</v>
      </c>
      <c r="R25" s="175">
        <f t="shared" si="67"/>
        <v>196.79999999999995</v>
      </c>
      <c r="S25" s="175">
        <f t="shared" si="67"/>
        <v>350.4</v>
      </c>
      <c r="T25" s="175">
        <f t="shared" si="67"/>
        <v>613.29999999999961</v>
      </c>
      <c r="U25" s="175">
        <f t="shared" si="67"/>
        <v>171.90000000000038</v>
      </c>
      <c r="V25" s="184">
        <f t="shared" si="67"/>
        <v>1332.3999999999994</v>
      </c>
      <c r="W25" s="175">
        <f t="shared" si="67"/>
        <v>205.70000000000005</v>
      </c>
      <c r="X25" s="175">
        <f t="shared" ref="X25:AB25" si="68">X20+X21+X22+X23</f>
        <v>252.10000000000014</v>
      </c>
      <c r="Y25" s="250">
        <f t="shared" si="68"/>
        <v>334.90000000000038</v>
      </c>
      <c r="Z25" s="250">
        <f t="shared" si="68"/>
        <v>240.69999999999996</v>
      </c>
      <c r="AA25" s="184">
        <f t="shared" si="68"/>
        <v>1033.4000000000001</v>
      </c>
      <c r="AB25" s="175">
        <f t="shared" si="68"/>
        <v>302.20000000000033</v>
      </c>
      <c r="AC25" s="175">
        <f t="shared" ref="AC25:AD25" si="69">AC20+AC21+AC22+AC23</f>
        <v>389.2999999999999</v>
      </c>
      <c r="AD25" s="175">
        <f t="shared" si="69"/>
        <v>289.10000000000002</v>
      </c>
      <c r="AE25" s="175">
        <f>AE20+AE21+AE22+AE23+AE24</f>
        <v>354.40000000000003</v>
      </c>
      <c r="AF25" s="184">
        <f>AF20+AF21+AF22+AF23+AF24</f>
        <v>1335.0000000000007</v>
      </c>
      <c r="AG25" s="175">
        <f t="shared" ref="AG25:AJ25" si="70">AG20+AG21+AG22+AG23+AG24</f>
        <v>393.49999999999972</v>
      </c>
      <c r="AH25" s="175">
        <f t="shared" si="70"/>
        <v>0</v>
      </c>
      <c r="AI25" s="175">
        <f t="shared" si="70"/>
        <v>0</v>
      </c>
      <c r="AJ25" s="250">
        <f t="shared" si="70"/>
        <v>0</v>
      </c>
      <c r="AK25" s="184">
        <f>AK20+AK21+AK22+AK23+AK24</f>
        <v>393.49999999999972</v>
      </c>
      <c r="AM25" s="177">
        <f t="shared" ref="AM25:AP25" si="71">AM20+AM21+AM22+AM23+AM24</f>
        <v>364.7</v>
      </c>
      <c r="AN25" s="175">
        <f t="shared" si="71"/>
        <v>0</v>
      </c>
      <c r="AO25" s="175">
        <f t="shared" si="71"/>
        <v>0</v>
      </c>
      <c r="AP25" s="250">
        <f t="shared" si="71"/>
        <v>0</v>
      </c>
      <c r="AQ25" s="184">
        <f>AQ20+AQ21+AQ22+AQ23+AQ24</f>
        <v>364.7</v>
      </c>
    </row>
    <row r="26" spans="1:43" ht="20.149999999999999" customHeight="1" thickBot="1">
      <c r="A26" s="276" t="s">
        <v>813</v>
      </c>
      <c r="B26" s="161" t="s">
        <v>4</v>
      </c>
      <c r="C26" s="160">
        <v>-41.2</v>
      </c>
      <c r="D26" s="160">
        <v>-13.4</v>
      </c>
      <c r="E26" s="160">
        <v>-26.2</v>
      </c>
      <c r="F26" s="160">
        <v>-16.600000000000001</v>
      </c>
      <c r="G26" s="164">
        <f>SUM(C26:F26)</f>
        <v>-97.4</v>
      </c>
      <c r="H26" s="159">
        <v>-14.1</v>
      </c>
      <c r="I26" s="160">
        <v>-13.4</v>
      </c>
      <c r="J26" s="160">
        <v>-24.4</v>
      </c>
      <c r="K26" s="160">
        <v>-15.5</v>
      </c>
      <c r="L26" s="164">
        <f>SUM(H26:K26)</f>
        <v>-67.400000000000006</v>
      </c>
      <c r="M26" s="159">
        <v>-14.400000000000002</v>
      </c>
      <c r="N26" s="160">
        <v>-16.7</v>
      </c>
      <c r="O26" s="160">
        <v>-1.1000000000000001</v>
      </c>
      <c r="P26" s="160">
        <v>10.5</v>
      </c>
      <c r="Q26" s="167">
        <f>SUM(M26:P26)</f>
        <v>-21.700000000000003</v>
      </c>
      <c r="R26" s="160">
        <v>-26</v>
      </c>
      <c r="S26" s="160">
        <v>-45.9</v>
      </c>
      <c r="T26" s="160">
        <v>-110.8</v>
      </c>
      <c r="U26" s="186">
        <v>13.7</v>
      </c>
      <c r="V26" s="167">
        <v>-169</v>
      </c>
      <c r="W26" s="186">
        <v>-27.2</v>
      </c>
      <c r="X26" s="186">
        <v>-21.2</v>
      </c>
      <c r="Y26" s="253">
        <v>-65.099999999999994</v>
      </c>
      <c r="Z26" s="186">
        <v>101.1</v>
      </c>
      <c r="AA26" s="167">
        <f t="shared" si="15"/>
        <v>-12.400000000000006</v>
      </c>
      <c r="AB26" s="186">
        <v>-30.8</v>
      </c>
      <c r="AC26" s="186">
        <v>-107.6</v>
      </c>
      <c r="AD26" s="186">
        <v>-54.2</v>
      </c>
      <c r="AE26" s="186">
        <v>-197.2</v>
      </c>
      <c r="AF26" s="167">
        <f>SUM(AB26:AE26)</f>
        <v>-389.8</v>
      </c>
      <c r="AG26" s="186">
        <v>-78</v>
      </c>
      <c r="AH26" s="186"/>
      <c r="AI26" s="253"/>
      <c r="AJ26" s="186"/>
      <c r="AK26" s="167">
        <f>SUM(AG26:AJ26)</f>
        <v>-78</v>
      </c>
      <c r="AL26" s="147"/>
      <c r="AM26" s="518">
        <v>-72.5</v>
      </c>
      <c r="AN26" s="186"/>
      <c r="AO26" s="253"/>
      <c r="AP26" s="186"/>
      <c r="AQ26" s="167">
        <f>SUM(AM26:AP26)</f>
        <v>-72.5</v>
      </c>
    </row>
    <row r="27" spans="1:43" s="149" customFormat="1" ht="20.149999999999999" customHeight="1" thickBot="1">
      <c r="A27" s="210" t="s">
        <v>814</v>
      </c>
      <c r="B27" s="210" t="s">
        <v>785</v>
      </c>
      <c r="C27" s="175">
        <f t="shared" ref="C27:N27" si="72">C25+C26</f>
        <v>205.10000000000002</v>
      </c>
      <c r="D27" s="175">
        <f t="shared" si="72"/>
        <v>99.499999999999957</v>
      </c>
      <c r="E27" s="175">
        <f t="shared" si="72"/>
        <v>172.00000000000006</v>
      </c>
      <c r="F27" s="175">
        <f t="shared" si="72"/>
        <v>121.60000000000019</v>
      </c>
      <c r="G27" s="183">
        <f>G25+G26</f>
        <v>598.19999999999914</v>
      </c>
      <c r="H27" s="177">
        <f t="shared" si="72"/>
        <v>95.179999999999964</v>
      </c>
      <c r="I27" s="175">
        <f t="shared" si="72"/>
        <v>80.699999999999974</v>
      </c>
      <c r="J27" s="175">
        <f t="shared" si="72"/>
        <v>176.39999999999998</v>
      </c>
      <c r="K27" s="175">
        <f t="shared" si="72"/>
        <v>173.19999999999993</v>
      </c>
      <c r="L27" s="183">
        <f t="shared" si="72"/>
        <v>525.48000000000036</v>
      </c>
      <c r="M27" s="177">
        <f t="shared" si="72"/>
        <v>98.199999999999761</v>
      </c>
      <c r="N27" s="175">
        <f t="shared" si="72"/>
        <v>132.09999999999991</v>
      </c>
      <c r="O27" s="175">
        <f t="shared" ref="O27" si="73">O25+O26</f>
        <v>48.199999999999683</v>
      </c>
      <c r="P27" s="175">
        <f t="shared" ref="P27" si="74">P25+P26</f>
        <v>14.000000000000773</v>
      </c>
      <c r="Q27" s="184">
        <f t="shared" ref="Q27:W27" si="75">Q25+Q26</f>
        <v>292.49999999999926</v>
      </c>
      <c r="R27" s="175">
        <f t="shared" si="75"/>
        <v>170.79999999999995</v>
      </c>
      <c r="S27" s="175">
        <f t="shared" si="75"/>
        <v>304.5</v>
      </c>
      <c r="T27" s="175">
        <f t="shared" si="75"/>
        <v>502.4999999999996</v>
      </c>
      <c r="U27" s="175">
        <f t="shared" si="75"/>
        <v>185.60000000000036</v>
      </c>
      <c r="V27" s="184">
        <f t="shared" si="75"/>
        <v>1163.3999999999994</v>
      </c>
      <c r="W27" s="175">
        <f t="shared" si="75"/>
        <v>178.50000000000006</v>
      </c>
      <c r="X27" s="175">
        <f t="shared" ref="X27:AB27" si="76">X25+X26</f>
        <v>230.90000000000015</v>
      </c>
      <c r="Y27" s="250">
        <f t="shared" si="76"/>
        <v>269.80000000000041</v>
      </c>
      <c r="Z27" s="250">
        <f t="shared" si="76"/>
        <v>341.79999999999995</v>
      </c>
      <c r="AA27" s="184">
        <f t="shared" si="76"/>
        <v>1021.0000000000001</v>
      </c>
      <c r="AB27" s="175">
        <f t="shared" si="76"/>
        <v>271.40000000000032</v>
      </c>
      <c r="AC27" s="175">
        <f t="shared" ref="AC27:AK27" si="77">AC25+AC26</f>
        <v>281.69999999999993</v>
      </c>
      <c r="AD27" s="175">
        <f t="shared" si="77"/>
        <v>234.90000000000003</v>
      </c>
      <c r="AE27" s="175">
        <f t="shared" si="77"/>
        <v>157.20000000000005</v>
      </c>
      <c r="AF27" s="184">
        <f t="shared" si="77"/>
        <v>945.20000000000073</v>
      </c>
      <c r="AG27" s="175">
        <f t="shared" si="77"/>
        <v>315.49999999999972</v>
      </c>
      <c r="AH27" s="175">
        <f t="shared" si="77"/>
        <v>0</v>
      </c>
      <c r="AI27" s="175">
        <f t="shared" si="77"/>
        <v>0</v>
      </c>
      <c r="AJ27" s="250">
        <f t="shared" si="77"/>
        <v>0</v>
      </c>
      <c r="AK27" s="184">
        <f t="shared" si="77"/>
        <v>315.49999999999972</v>
      </c>
      <c r="AM27" s="177">
        <f t="shared" ref="AM27:AQ27" si="78">AM25+AM26</f>
        <v>292.2</v>
      </c>
      <c r="AN27" s="175">
        <f t="shared" si="78"/>
        <v>0</v>
      </c>
      <c r="AO27" s="175">
        <f t="shared" si="78"/>
        <v>0</v>
      </c>
      <c r="AP27" s="250">
        <f t="shared" si="78"/>
        <v>0</v>
      </c>
      <c r="AQ27" s="184">
        <f t="shared" si="78"/>
        <v>292.2</v>
      </c>
    </row>
    <row r="28" spans="1:43" ht="26">
      <c r="A28" s="268" t="s">
        <v>815</v>
      </c>
      <c r="B28" s="161" t="s">
        <v>764</v>
      </c>
      <c r="C28" s="160">
        <f>C27</f>
        <v>205.10000000000002</v>
      </c>
      <c r="D28" s="160">
        <f t="shared" ref="D28:V28" si="79">D27</f>
        <v>99.499999999999957</v>
      </c>
      <c r="E28" s="160">
        <f t="shared" si="79"/>
        <v>172.00000000000006</v>
      </c>
      <c r="F28" s="160">
        <f t="shared" si="79"/>
        <v>121.60000000000019</v>
      </c>
      <c r="G28" s="164">
        <f t="shared" si="79"/>
        <v>598.19999999999914</v>
      </c>
      <c r="H28" s="159">
        <f t="shared" si="79"/>
        <v>95.179999999999964</v>
      </c>
      <c r="I28" s="160">
        <f t="shared" si="79"/>
        <v>80.699999999999974</v>
      </c>
      <c r="J28" s="160">
        <f t="shared" si="79"/>
        <v>176.39999999999998</v>
      </c>
      <c r="K28" s="160">
        <f t="shared" si="79"/>
        <v>173.19999999999993</v>
      </c>
      <c r="L28" s="164">
        <f t="shared" si="79"/>
        <v>525.48000000000036</v>
      </c>
      <c r="M28" s="159">
        <f t="shared" si="79"/>
        <v>98.199999999999761</v>
      </c>
      <c r="N28" s="160">
        <f t="shared" si="79"/>
        <v>132.09999999999991</v>
      </c>
      <c r="O28" s="160">
        <f t="shared" si="79"/>
        <v>48.199999999999683</v>
      </c>
      <c r="P28" s="160">
        <f t="shared" si="79"/>
        <v>14.000000000000773</v>
      </c>
      <c r="Q28" s="167">
        <f t="shared" si="79"/>
        <v>292.49999999999926</v>
      </c>
      <c r="R28" s="160">
        <f t="shared" si="79"/>
        <v>170.79999999999995</v>
      </c>
      <c r="S28" s="160">
        <f t="shared" si="79"/>
        <v>304.5</v>
      </c>
      <c r="T28" s="160">
        <f t="shared" si="79"/>
        <v>502.4999999999996</v>
      </c>
      <c r="U28" s="202">
        <f t="shared" si="79"/>
        <v>185.60000000000036</v>
      </c>
      <c r="V28" s="167">
        <f t="shared" si="79"/>
        <v>1163.3999999999994</v>
      </c>
      <c r="W28" s="186">
        <v>175.5</v>
      </c>
      <c r="X28" s="186">
        <v>237.7</v>
      </c>
      <c r="Y28" s="253">
        <v>278.2</v>
      </c>
      <c r="Z28" s="202">
        <v>349.9</v>
      </c>
      <c r="AA28" s="167">
        <f t="shared" si="15"/>
        <v>1041.3</v>
      </c>
      <c r="AB28" s="186">
        <v>279.39999999999998</v>
      </c>
      <c r="AC28" s="186">
        <v>291.2</v>
      </c>
      <c r="AD28" s="186">
        <v>242.9</v>
      </c>
      <c r="AE28" s="253">
        <v>167.1</v>
      </c>
      <c r="AF28" s="167">
        <f t="shared" ref="AF28:AF29" si="80">SUM(AB28:AE28)</f>
        <v>980.59999999999991</v>
      </c>
      <c r="AG28" s="160"/>
      <c r="AH28" s="186"/>
      <c r="AI28" s="253"/>
      <c r="AJ28" s="253"/>
      <c r="AK28" s="167">
        <f t="shared" ref="AK28:AK29" si="81">SUM(AG28:AJ28)</f>
        <v>0</v>
      </c>
      <c r="AL28" s="147"/>
      <c r="AM28" s="520">
        <v>300.8</v>
      </c>
      <c r="AN28" s="186"/>
      <c r="AO28" s="253"/>
      <c r="AP28" s="253"/>
      <c r="AQ28" s="167">
        <f t="shared" ref="AQ28:AQ29" si="82">SUM(AM28:AP28)</f>
        <v>300.8</v>
      </c>
    </row>
    <row r="29" spans="1:43" ht="26">
      <c r="A29" s="269" t="s">
        <v>816</v>
      </c>
      <c r="B29" s="161" t="s">
        <v>1013</v>
      </c>
      <c r="C29" s="160"/>
      <c r="D29" s="160"/>
      <c r="E29" s="160"/>
      <c r="F29" s="160"/>
      <c r="G29" s="164"/>
      <c r="H29" s="159"/>
      <c r="I29" s="160"/>
      <c r="J29" s="160"/>
      <c r="K29" s="160"/>
      <c r="L29" s="164"/>
      <c r="M29" s="159"/>
      <c r="N29" s="160"/>
      <c r="O29" s="160"/>
      <c r="P29" s="160"/>
      <c r="Q29" s="167"/>
      <c r="R29" s="160"/>
      <c r="S29" s="160"/>
      <c r="T29" s="160"/>
      <c r="U29" s="202"/>
      <c r="V29" s="167"/>
      <c r="W29" s="186">
        <v>3</v>
      </c>
      <c r="X29" s="186">
        <v>-6.8</v>
      </c>
      <c r="Y29" s="253">
        <v>-8.4</v>
      </c>
      <c r="Z29" s="202">
        <v>-8.1</v>
      </c>
      <c r="AA29" s="167">
        <f t="shared" si="15"/>
        <v>-20.299999999999997</v>
      </c>
      <c r="AB29" s="186">
        <v>-8</v>
      </c>
      <c r="AC29" s="186">
        <v>-9.5</v>
      </c>
      <c r="AD29" s="186">
        <v>-8</v>
      </c>
      <c r="AE29" s="253">
        <v>-9.9</v>
      </c>
      <c r="AF29" s="167">
        <f t="shared" si="80"/>
        <v>-35.4</v>
      </c>
      <c r="AG29" s="160"/>
      <c r="AH29" s="186"/>
      <c r="AI29" s="253"/>
      <c r="AJ29" s="253"/>
      <c r="AK29" s="167">
        <f t="shared" si="81"/>
        <v>0</v>
      </c>
      <c r="AL29" s="147"/>
      <c r="AM29" s="520">
        <v>-8.6</v>
      </c>
      <c r="AN29" s="186"/>
      <c r="AO29" s="253"/>
      <c r="AP29" s="253"/>
      <c r="AQ29" s="167">
        <f t="shared" si="82"/>
        <v>-8.6</v>
      </c>
    </row>
    <row r="30" spans="1:43" s="149" customFormat="1" ht="20.149999999999999" customHeight="1" thickBot="1">
      <c r="A30" s="277" t="s">
        <v>817</v>
      </c>
      <c r="B30" s="278" t="s">
        <v>765</v>
      </c>
      <c r="C30" s="197">
        <f t="shared" ref="C30:M30" si="83">ROUND(C27/348.352836,2)</f>
        <v>0.59</v>
      </c>
      <c r="D30" s="197">
        <f t="shared" si="83"/>
        <v>0.28999999999999998</v>
      </c>
      <c r="E30" s="197">
        <f t="shared" si="83"/>
        <v>0.49</v>
      </c>
      <c r="F30" s="197">
        <f t="shared" si="83"/>
        <v>0.35</v>
      </c>
      <c r="G30" s="198">
        <f t="shared" si="83"/>
        <v>1.72</v>
      </c>
      <c r="H30" s="203">
        <f t="shared" si="83"/>
        <v>0.27</v>
      </c>
      <c r="I30" s="197">
        <f t="shared" si="83"/>
        <v>0.23</v>
      </c>
      <c r="J30" s="197">
        <f t="shared" si="83"/>
        <v>0.51</v>
      </c>
      <c r="K30" s="197">
        <f t="shared" si="83"/>
        <v>0.5</v>
      </c>
      <c r="L30" s="198">
        <f t="shared" si="83"/>
        <v>1.51</v>
      </c>
      <c r="M30" s="203">
        <f t="shared" si="83"/>
        <v>0.28000000000000003</v>
      </c>
      <c r="N30" s="197">
        <f>ROUND(N27/524.348714,2)</f>
        <v>0.25</v>
      </c>
      <c r="O30" s="197">
        <f>ROUND(O27/639.546016,2)</f>
        <v>0.08</v>
      </c>
      <c r="P30" s="197">
        <f>ROUND(P27/639.546016,2)</f>
        <v>0.02</v>
      </c>
      <c r="Q30" s="199">
        <f>ROUND(Q27/539.024535,2)</f>
        <v>0.54</v>
      </c>
      <c r="R30" s="197">
        <f t="shared" ref="R30:W30" si="84">ROUND(R27/639.546016,2)</f>
        <v>0.27</v>
      </c>
      <c r="S30" s="197">
        <f t="shared" si="84"/>
        <v>0.48</v>
      </c>
      <c r="T30" s="197">
        <f t="shared" si="84"/>
        <v>0.79</v>
      </c>
      <c r="U30" s="201">
        <f t="shared" si="84"/>
        <v>0.28999999999999998</v>
      </c>
      <c r="V30" s="199">
        <f t="shared" si="84"/>
        <v>1.82</v>
      </c>
      <c r="W30" s="200">
        <f t="shared" si="84"/>
        <v>0.28000000000000003</v>
      </c>
      <c r="X30" s="200">
        <f>ROUNDUP(X27/639.546016,2)</f>
        <v>0.37</v>
      </c>
      <c r="Y30" s="256">
        <f>ROUND(Y27/639.546016,2)</f>
        <v>0.42</v>
      </c>
      <c r="Z30" s="256">
        <f>ROUNDUP(Z27/639.546016,2)</f>
        <v>0.54</v>
      </c>
      <c r="AA30" s="199">
        <f>ROUNDUP(AA27/639.546016,2)</f>
        <v>1.6</v>
      </c>
      <c r="AB30" s="200">
        <f t="shared" ref="AB30:AK30" si="85">ROUND(AB27/639.546016,2)</f>
        <v>0.42</v>
      </c>
      <c r="AC30" s="200">
        <f t="shared" si="85"/>
        <v>0.44</v>
      </c>
      <c r="AD30" s="200">
        <f t="shared" si="85"/>
        <v>0.37</v>
      </c>
      <c r="AE30" s="200">
        <f t="shared" si="85"/>
        <v>0.25</v>
      </c>
      <c r="AF30" s="199">
        <f t="shared" si="85"/>
        <v>1.48</v>
      </c>
      <c r="AG30" s="200">
        <f t="shared" si="85"/>
        <v>0.49</v>
      </c>
      <c r="AH30" s="200">
        <f t="shared" si="85"/>
        <v>0</v>
      </c>
      <c r="AI30" s="200">
        <f t="shared" si="85"/>
        <v>0</v>
      </c>
      <c r="AJ30" s="256">
        <f t="shared" si="85"/>
        <v>0</v>
      </c>
      <c r="AK30" s="199">
        <f t="shared" si="85"/>
        <v>0.49</v>
      </c>
      <c r="AM30" s="521">
        <f t="shared" ref="AM30:AQ30" si="86">ROUND(AM27/639.546016,2)</f>
        <v>0.46</v>
      </c>
      <c r="AN30" s="200">
        <f t="shared" si="86"/>
        <v>0</v>
      </c>
      <c r="AO30" s="200">
        <f t="shared" si="86"/>
        <v>0</v>
      </c>
      <c r="AP30" s="256">
        <f t="shared" si="86"/>
        <v>0</v>
      </c>
      <c r="AQ30" s="199">
        <f t="shared" si="86"/>
        <v>0.46</v>
      </c>
    </row>
    <row r="31" spans="1:43" s="185" customFormat="1" ht="20.149999999999999" customHeight="1">
      <c r="A31" s="211" t="s">
        <v>0</v>
      </c>
      <c r="B31" s="211" t="s">
        <v>0</v>
      </c>
      <c r="C31" s="211">
        <f t="shared" ref="C31:AF31" si="87">C20-C12</f>
        <v>257.40000000000003</v>
      </c>
      <c r="D31" s="212">
        <f t="shared" si="87"/>
        <v>269.7</v>
      </c>
      <c r="E31" s="212">
        <f t="shared" si="87"/>
        <v>257.8</v>
      </c>
      <c r="F31" s="212">
        <f t="shared" si="87"/>
        <v>247.20000000000016</v>
      </c>
      <c r="G31" s="213">
        <f t="shared" si="87"/>
        <v>1032.0999999999992</v>
      </c>
      <c r="H31" s="211">
        <f t="shared" si="87"/>
        <v>245.37999999999994</v>
      </c>
      <c r="I31" s="212">
        <f t="shared" si="87"/>
        <v>257.3</v>
      </c>
      <c r="J31" s="212">
        <f t="shared" si="87"/>
        <v>268.2</v>
      </c>
      <c r="K31" s="212">
        <f t="shared" si="87"/>
        <v>275.39999999999998</v>
      </c>
      <c r="L31" s="213">
        <f t="shared" si="87"/>
        <v>1046.2800000000002</v>
      </c>
      <c r="M31" s="211">
        <f t="shared" si="87"/>
        <v>281.99999999999977</v>
      </c>
      <c r="N31" s="212">
        <f t="shared" si="87"/>
        <v>708.89999999999986</v>
      </c>
      <c r="O31" s="212">
        <f t="shared" si="87"/>
        <v>910.09999999999968</v>
      </c>
      <c r="P31" s="212">
        <f t="shared" si="87"/>
        <v>837.30000000000075</v>
      </c>
      <c r="Q31" s="213">
        <f t="shared" si="87"/>
        <v>2738.2999999999993</v>
      </c>
      <c r="R31" s="211">
        <f t="shared" si="87"/>
        <v>896.59999999999991</v>
      </c>
      <c r="S31" s="212">
        <f t="shared" si="87"/>
        <v>977</v>
      </c>
      <c r="T31" s="212">
        <f t="shared" si="87"/>
        <v>930.39999999999964</v>
      </c>
      <c r="U31" s="212">
        <f t="shared" si="87"/>
        <v>881.10000000000036</v>
      </c>
      <c r="V31" s="214">
        <f t="shared" si="87"/>
        <v>3685.0999999999995</v>
      </c>
      <c r="W31" s="211">
        <f t="shared" si="87"/>
        <v>846.5</v>
      </c>
      <c r="X31" s="222">
        <f t="shared" si="87"/>
        <v>935.00000000000011</v>
      </c>
      <c r="Y31" s="257">
        <f t="shared" si="87"/>
        <v>957.00000000000034</v>
      </c>
      <c r="Z31" s="257">
        <f t="shared" si="87"/>
        <v>902.3</v>
      </c>
      <c r="AA31" s="214">
        <f t="shared" si="87"/>
        <v>3640.8</v>
      </c>
      <c r="AB31" s="494">
        <f t="shared" si="87"/>
        <v>929.50000000000034</v>
      </c>
      <c r="AC31" s="506">
        <f t="shared" si="87"/>
        <v>963.69999999999982</v>
      </c>
      <c r="AD31" s="506">
        <f t="shared" si="87"/>
        <v>851.1</v>
      </c>
      <c r="AE31" s="506">
        <f t="shared" si="87"/>
        <v>872.7</v>
      </c>
      <c r="AF31" s="214">
        <f t="shared" si="87"/>
        <v>3617.0000000000009</v>
      </c>
      <c r="AG31" s="211">
        <f t="shared" ref="AG31" si="88">AG20-AG12</f>
        <v>918.79999999999973</v>
      </c>
      <c r="AH31" s="257">
        <f>AH20-AH12</f>
        <v>0</v>
      </c>
      <c r="AI31" s="257">
        <f>AI20-AI12</f>
        <v>0</v>
      </c>
      <c r="AJ31" s="257">
        <f t="shared" ref="AJ31:AK31" si="89">AJ20-AJ12</f>
        <v>0</v>
      </c>
      <c r="AK31" s="214">
        <f t="shared" si="89"/>
        <v>918.79999999999973</v>
      </c>
      <c r="AL31" s="149"/>
      <c r="AM31" s="522">
        <f>AM20-AM12</f>
        <v>890</v>
      </c>
      <c r="AN31" s="257">
        <f>AN20-AN12</f>
        <v>0</v>
      </c>
      <c r="AO31" s="257">
        <f>AO20-AO12</f>
        <v>0</v>
      </c>
      <c r="AP31" s="257">
        <f>AP20-AP12</f>
        <v>0</v>
      </c>
      <c r="AQ31" s="214">
        <f>AQ20-AQ12</f>
        <v>890</v>
      </c>
    </row>
    <row r="32" spans="1:43" s="149" customFormat="1" ht="20.149999999999999" customHeight="1" thickBot="1">
      <c r="A32" s="215" t="s">
        <v>818</v>
      </c>
      <c r="B32" s="215" t="s">
        <v>5</v>
      </c>
      <c r="C32" s="216">
        <f t="shared" ref="C32:AF32" si="90">C31/C5</f>
        <v>0.38463837417812313</v>
      </c>
      <c r="D32" s="217">
        <f t="shared" si="90"/>
        <v>0.377836929111796</v>
      </c>
      <c r="E32" s="217">
        <f t="shared" si="90"/>
        <v>0.4</v>
      </c>
      <c r="F32" s="217">
        <f t="shared" si="90"/>
        <v>0.32933653077537983</v>
      </c>
      <c r="G32" s="218">
        <f t="shared" si="90"/>
        <v>0.37151290450307745</v>
      </c>
      <c r="H32" s="216">
        <f t="shared" si="90"/>
        <v>0.35200114761153339</v>
      </c>
      <c r="I32" s="217">
        <f t="shared" si="90"/>
        <v>0.34963989672509854</v>
      </c>
      <c r="J32" s="217">
        <f t="shared" si="90"/>
        <v>0.39598405433338257</v>
      </c>
      <c r="K32" s="217">
        <f t="shared" si="90"/>
        <v>0.34403497813866329</v>
      </c>
      <c r="L32" s="219">
        <f t="shared" si="90"/>
        <v>0.35944757454995196</v>
      </c>
      <c r="M32" s="216">
        <f t="shared" si="90"/>
        <v>0.38987971795935272</v>
      </c>
      <c r="N32" s="217">
        <f t="shared" si="90"/>
        <v>0.40603700097370976</v>
      </c>
      <c r="O32" s="217">
        <f t="shared" si="90"/>
        <v>0.37613655149611497</v>
      </c>
      <c r="P32" s="217">
        <f t="shared" si="90"/>
        <v>0.33211693308476481</v>
      </c>
      <c r="Q32" s="218">
        <f t="shared" si="90"/>
        <v>0.36954614772129168</v>
      </c>
      <c r="R32" s="217">
        <f t="shared" si="90"/>
        <v>0.38497209102619145</v>
      </c>
      <c r="S32" s="217">
        <f t="shared" si="90"/>
        <v>0.39567471245747615</v>
      </c>
      <c r="T32" s="217">
        <f t="shared" si="90"/>
        <v>0.3852747525777464</v>
      </c>
      <c r="U32" s="220">
        <f t="shared" si="90"/>
        <v>0.33759914172956829</v>
      </c>
      <c r="V32" s="221">
        <f t="shared" si="90"/>
        <v>0.37515015779293487</v>
      </c>
      <c r="W32" s="220">
        <f t="shared" si="90"/>
        <v>0.35807952622673433</v>
      </c>
      <c r="X32" s="220">
        <f t="shared" si="90"/>
        <v>0.3827418232428671</v>
      </c>
      <c r="Y32" s="258">
        <f t="shared" si="90"/>
        <v>0.4007873356227491</v>
      </c>
      <c r="Z32" s="258">
        <f t="shared" si="90"/>
        <v>0.35592284328034396</v>
      </c>
      <c r="AA32" s="221">
        <f t="shared" si="90"/>
        <v>0.37419063084544396</v>
      </c>
      <c r="AB32" s="220">
        <f t="shared" si="90"/>
        <v>0.38914008205643491</v>
      </c>
      <c r="AC32" s="220">
        <f t="shared" si="90"/>
        <v>0.39017773998947319</v>
      </c>
      <c r="AD32" s="220">
        <f t="shared" si="90"/>
        <v>0.35597473754653058</v>
      </c>
      <c r="AE32" s="220">
        <f t="shared" si="90"/>
        <v>0.33836073200992561</v>
      </c>
      <c r="AF32" s="221">
        <f t="shared" si="90"/>
        <v>0.36800765114054906</v>
      </c>
      <c r="AG32" s="220">
        <f t="shared" ref="AG32:AK32" si="91">AG31/AG5</f>
        <v>0.3892065912653026</v>
      </c>
      <c r="AH32" s="220" t="e">
        <f t="shared" si="91"/>
        <v>#DIV/0!</v>
      </c>
      <c r="AI32" s="220" t="e">
        <f t="shared" si="91"/>
        <v>#DIV/0!</v>
      </c>
      <c r="AJ32" s="258" t="e">
        <f t="shared" si="91"/>
        <v>#DIV/0!</v>
      </c>
      <c r="AK32" s="221">
        <f t="shared" si="91"/>
        <v>0.3892065912653026</v>
      </c>
      <c r="AM32" s="523">
        <f>AM31/AM5</f>
        <v>0.37938531054179631</v>
      </c>
      <c r="AN32" s="220" t="e">
        <f>AN31/AN5</f>
        <v>#DIV/0!</v>
      </c>
      <c r="AO32" s="220" t="e">
        <f>AO31/AO5</f>
        <v>#DIV/0!</v>
      </c>
      <c r="AP32" s="258" t="e">
        <f>AP31/AP5</f>
        <v>#DIV/0!</v>
      </c>
      <c r="AQ32" s="221">
        <f>AQ31/AQ5</f>
        <v>0.37938531054179631</v>
      </c>
    </row>
    <row r="33" spans="1:43" s="149" customFormat="1" ht="20.149999999999999" customHeight="1">
      <c r="A33" s="260"/>
      <c r="B33" s="146"/>
      <c r="C33" s="150"/>
      <c r="D33" s="150"/>
      <c r="E33" s="150"/>
      <c r="F33" s="150"/>
      <c r="G33" s="150"/>
      <c r="H33" s="150"/>
      <c r="I33" s="151"/>
      <c r="J33" s="152"/>
      <c r="K33" s="152"/>
      <c r="L33" s="143"/>
      <c r="M33" s="143"/>
      <c r="N33" s="143"/>
      <c r="O33" s="143"/>
      <c r="P33" s="143"/>
      <c r="Q33" s="143"/>
      <c r="R33" s="143"/>
      <c r="S33" s="143"/>
      <c r="T33" s="143"/>
      <c r="U33" s="153"/>
      <c r="V33" s="153"/>
      <c r="W33" s="153"/>
      <c r="X33" s="153"/>
      <c r="Y33" s="259"/>
      <c r="Z33" s="153"/>
      <c r="AA33" s="153"/>
      <c r="AB33" s="153"/>
      <c r="AC33" s="153"/>
      <c r="AD33" s="147"/>
      <c r="AE33" s="147"/>
      <c r="AF33" s="147"/>
      <c r="AG33" s="153"/>
      <c r="AH33" s="153"/>
      <c r="AI33" s="259"/>
      <c r="AJ33" s="153"/>
      <c r="AK33" s="153"/>
      <c r="AL33" s="147"/>
      <c r="AM33" s="153"/>
      <c r="AN33" s="153"/>
      <c r="AO33" s="259"/>
      <c r="AP33" s="153"/>
      <c r="AQ33" s="153"/>
    </row>
    <row r="34" spans="1:43" ht="15" customHeight="1">
      <c r="A34" s="143" t="s">
        <v>819</v>
      </c>
      <c r="B34" s="279" t="s">
        <v>789</v>
      </c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U34" s="153"/>
      <c r="V34" s="153"/>
      <c r="W34" s="153"/>
      <c r="X34" s="153"/>
      <c r="Y34" s="259"/>
      <c r="Z34" s="153"/>
      <c r="AA34" s="153"/>
      <c r="AB34" s="153"/>
      <c r="AC34" s="153"/>
      <c r="AD34" s="143"/>
      <c r="AE34" s="143"/>
      <c r="AF34" s="143"/>
      <c r="AG34" s="147"/>
      <c r="AH34" s="156"/>
      <c r="AI34" s="260"/>
      <c r="AJ34" s="156"/>
      <c r="AK34" s="156"/>
      <c r="AL34" s="147"/>
      <c r="AM34" s="156"/>
      <c r="AN34" s="156"/>
      <c r="AO34" s="260"/>
      <c r="AP34" s="156"/>
      <c r="AQ34" s="156"/>
    </row>
    <row r="35" spans="1:43" s="143" customFormat="1" ht="52">
      <c r="A35" s="526" t="s">
        <v>1046</v>
      </c>
      <c r="B35" s="524" t="s">
        <v>1044</v>
      </c>
      <c r="C35" s="524"/>
      <c r="D35" s="524"/>
      <c r="E35" s="524"/>
      <c r="F35" s="524"/>
      <c r="G35" s="524"/>
      <c r="H35" s="524"/>
      <c r="I35" s="524"/>
      <c r="J35" s="524"/>
      <c r="K35" s="524"/>
      <c r="L35" s="524"/>
      <c r="M35" s="524"/>
      <c r="N35" s="524"/>
      <c r="O35" s="524"/>
      <c r="P35" s="524"/>
      <c r="Q35" s="524"/>
      <c r="R35" s="524"/>
      <c r="U35" s="153"/>
      <c r="V35" s="153"/>
      <c r="W35" s="153"/>
      <c r="X35" s="153"/>
      <c r="Y35" s="259"/>
      <c r="Z35" s="153"/>
      <c r="AA35" s="153"/>
      <c r="AB35" s="153"/>
      <c r="AC35" s="153"/>
      <c r="AH35" s="153"/>
      <c r="AI35" s="259"/>
      <c r="AJ35" s="153"/>
      <c r="AK35" s="153"/>
      <c r="AM35" s="524"/>
      <c r="AN35" s="524"/>
      <c r="AO35" s="524"/>
      <c r="AP35" s="524"/>
      <c r="AQ35" s="524"/>
    </row>
    <row r="36" spans="1:43" s="143" customFormat="1" ht="50.15" customHeight="1">
      <c r="A36" s="525" t="s">
        <v>1047</v>
      </c>
      <c r="B36" s="524" t="s">
        <v>1045</v>
      </c>
      <c r="C36" s="524"/>
      <c r="D36" s="524"/>
      <c r="E36" s="524"/>
      <c r="F36" s="524"/>
      <c r="G36" s="524"/>
      <c r="H36" s="524"/>
      <c r="I36" s="524"/>
      <c r="J36" s="524"/>
      <c r="K36" s="524"/>
      <c r="L36" s="524"/>
      <c r="M36" s="524"/>
      <c r="N36" s="524"/>
      <c r="O36" s="524"/>
      <c r="P36" s="524"/>
      <c r="Q36" s="524"/>
      <c r="T36" s="153"/>
      <c r="U36" s="153"/>
      <c r="V36" s="153"/>
      <c r="W36" s="153"/>
      <c r="X36" s="259"/>
      <c r="Y36" s="153"/>
      <c r="Z36" s="153"/>
      <c r="AA36" s="153"/>
      <c r="AB36" s="153"/>
      <c r="AF36" s="153"/>
      <c r="AH36" s="153"/>
      <c r="AI36" s="259"/>
      <c r="AJ36" s="153"/>
      <c r="AK36" s="153"/>
      <c r="AM36" s="524"/>
      <c r="AN36" s="524"/>
      <c r="AO36" s="524"/>
      <c r="AP36" s="524"/>
      <c r="AQ36" s="524"/>
    </row>
    <row r="37" spans="1:43" s="143" customFormat="1" ht="40" customHeight="1">
      <c r="A37" s="147"/>
      <c r="B37" s="566"/>
      <c r="C37" s="566"/>
      <c r="D37" s="566"/>
      <c r="E37" s="566"/>
      <c r="F37" s="566"/>
      <c r="G37" s="566"/>
      <c r="H37" s="566"/>
      <c r="I37" s="566"/>
      <c r="J37" s="566"/>
      <c r="K37" s="566"/>
      <c r="L37" s="566"/>
      <c r="M37" s="566"/>
      <c r="N37" s="566"/>
      <c r="O37" s="147"/>
      <c r="P37" s="147"/>
      <c r="Q37" s="147"/>
      <c r="R37" s="147"/>
      <c r="S37" s="147"/>
      <c r="T37" s="147"/>
      <c r="U37" s="156"/>
      <c r="V37" s="156"/>
      <c r="W37" s="156"/>
      <c r="X37" s="156"/>
      <c r="Y37" s="260"/>
      <c r="Z37" s="156"/>
      <c r="AA37" s="156"/>
      <c r="AB37" s="156"/>
      <c r="AC37" s="156"/>
      <c r="AD37" s="147"/>
      <c r="AE37" s="147"/>
      <c r="AF37" s="147"/>
      <c r="AG37" s="153"/>
      <c r="AH37" s="259"/>
      <c r="AI37" s="153"/>
      <c r="AJ37" s="153"/>
      <c r="AL37" s="524"/>
      <c r="AM37" s="524"/>
      <c r="AN37" s="524"/>
      <c r="AO37" s="524"/>
      <c r="AP37" s="524"/>
    </row>
    <row r="38" spans="1:43" ht="15" customHeight="1">
      <c r="A38" s="259"/>
      <c r="B38" s="150"/>
      <c r="C38" s="150"/>
      <c r="D38" s="150"/>
      <c r="E38" s="150"/>
      <c r="F38" s="150"/>
      <c r="G38" s="150"/>
      <c r="H38" s="150"/>
      <c r="I38" s="151"/>
      <c r="J38" s="152"/>
      <c r="U38" s="153"/>
      <c r="V38" s="153"/>
      <c r="W38" s="153"/>
      <c r="X38" s="153"/>
      <c r="Y38" s="259"/>
      <c r="Z38" s="153"/>
      <c r="AA38" s="153"/>
      <c r="AB38" s="153"/>
      <c r="AC38" s="153"/>
      <c r="AG38" s="153"/>
      <c r="AH38" s="153"/>
      <c r="AI38" s="259"/>
      <c r="AJ38" s="153"/>
      <c r="AK38" s="153"/>
      <c r="AL38" s="147"/>
      <c r="AM38" s="153"/>
      <c r="AN38" s="153"/>
      <c r="AO38" s="259"/>
      <c r="AP38" s="153"/>
      <c r="AQ38" s="153"/>
    </row>
    <row r="39" spans="1:43" ht="15" customHeight="1">
      <c r="A39" s="147"/>
      <c r="B39" s="566"/>
      <c r="C39" s="566"/>
      <c r="D39" s="566"/>
      <c r="E39" s="566"/>
      <c r="F39" s="566"/>
      <c r="G39" s="566"/>
      <c r="H39" s="566"/>
      <c r="I39" s="566"/>
      <c r="J39" s="566"/>
      <c r="K39" s="566"/>
      <c r="L39" s="566"/>
      <c r="M39" s="566"/>
      <c r="N39" s="566"/>
      <c r="O39" s="147"/>
      <c r="P39" s="147"/>
      <c r="Q39" s="147"/>
      <c r="R39" s="147"/>
      <c r="S39" s="147"/>
      <c r="T39" s="147"/>
      <c r="U39" s="156"/>
      <c r="V39" s="156"/>
      <c r="W39" s="156"/>
      <c r="X39" s="156"/>
      <c r="Y39" s="260"/>
      <c r="Z39" s="156"/>
      <c r="AA39" s="156"/>
      <c r="AB39" s="156"/>
      <c r="AC39" s="156"/>
      <c r="AG39" s="156"/>
      <c r="AH39" s="156"/>
      <c r="AI39" s="260"/>
      <c r="AJ39" s="156"/>
      <c r="AK39" s="156"/>
      <c r="AL39" s="147"/>
      <c r="AM39" s="156"/>
      <c r="AN39" s="156"/>
      <c r="AO39" s="260"/>
      <c r="AP39" s="156"/>
      <c r="AQ39" s="156"/>
    </row>
    <row r="40" spans="1:43" ht="15" customHeight="1">
      <c r="A40" s="260"/>
      <c r="B40" s="146"/>
      <c r="C40" s="150"/>
      <c r="D40" s="150"/>
      <c r="E40" s="150"/>
      <c r="F40" s="150"/>
      <c r="G40" s="150"/>
      <c r="H40" s="150"/>
      <c r="I40" s="151"/>
      <c r="J40" s="152"/>
      <c r="U40" s="153"/>
      <c r="V40" s="153"/>
      <c r="W40" s="153"/>
      <c r="X40" s="153"/>
      <c r="Y40" s="259"/>
      <c r="Z40" s="153"/>
      <c r="AA40" s="153"/>
      <c r="AB40" s="153"/>
      <c r="AC40" s="153"/>
      <c r="AG40" s="153"/>
      <c r="AH40" s="153"/>
      <c r="AI40" s="259"/>
      <c r="AJ40" s="153"/>
      <c r="AK40" s="153"/>
      <c r="AL40" s="147"/>
      <c r="AM40" s="153"/>
      <c r="AN40" s="153"/>
      <c r="AO40" s="259"/>
      <c r="AP40" s="153"/>
      <c r="AQ40" s="153"/>
    </row>
    <row r="41" spans="1:43" ht="15" customHeight="1">
      <c r="A41" s="260"/>
      <c r="B41" s="146"/>
      <c r="C41" s="150"/>
      <c r="D41" s="150"/>
      <c r="E41" s="150"/>
      <c r="F41" s="150"/>
      <c r="G41" s="150"/>
      <c r="H41" s="150"/>
      <c r="I41" s="151"/>
      <c r="J41" s="152"/>
      <c r="U41" s="153"/>
      <c r="V41" s="153"/>
      <c r="W41" s="153"/>
      <c r="X41" s="153"/>
      <c r="Y41" s="259"/>
      <c r="Z41" s="153"/>
      <c r="AA41" s="153"/>
      <c r="AB41" s="153"/>
      <c r="AC41" s="153"/>
      <c r="AG41" s="153"/>
      <c r="AH41" s="153"/>
      <c r="AI41" s="259"/>
      <c r="AJ41" s="153"/>
      <c r="AK41" s="153"/>
      <c r="AL41" s="147"/>
      <c r="AM41" s="153"/>
      <c r="AN41" s="153"/>
      <c r="AO41" s="259"/>
      <c r="AP41" s="153"/>
      <c r="AQ41" s="153"/>
    </row>
    <row r="42" spans="1:43" ht="28.5" customHeight="1">
      <c r="A42" s="260"/>
      <c r="B42" s="146"/>
      <c r="C42" s="150"/>
      <c r="D42" s="150"/>
      <c r="E42" s="150"/>
      <c r="F42" s="150"/>
      <c r="G42" s="150"/>
      <c r="H42" s="150"/>
      <c r="I42" s="151"/>
      <c r="J42" s="152"/>
      <c r="U42" s="153"/>
      <c r="V42" s="153"/>
      <c r="W42" s="153"/>
      <c r="X42" s="153"/>
      <c r="Y42" s="259"/>
      <c r="Z42" s="153"/>
      <c r="AA42" s="153"/>
      <c r="AB42" s="153"/>
      <c r="AC42" s="153"/>
      <c r="AG42" s="153"/>
      <c r="AH42" s="153"/>
      <c r="AI42" s="259"/>
      <c r="AJ42" s="153"/>
      <c r="AK42" s="153"/>
      <c r="AL42" s="147"/>
      <c r="AM42" s="153"/>
      <c r="AN42" s="153"/>
      <c r="AO42" s="259"/>
      <c r="AP42" s="153"/>
      <c r="AQ42" s="153"/>
    </row>
    <row r="43" spans="1:43" ht="28.5" customHeight="1">
      <c r="A43" s="260"/>
      <c r="B43" s="146"/>
      <c r="C43" s="150"/>
      <c r="D43" s="150"/>
      <c r="E43" s="150"/>
      <c r="F43" s="150"/>
      <c r="G43" s="150"/>
      <c r="H43" s="150"/>
      <c r="I43" s="151"/>
      <c r="J43" s="152"/>
      <c r="U43" s="153"/>
      <c r="V43" s="153"/>
      <c r="W43" s="153"/>
      <c r="X43" s="153"/>
      <c r="Y43" s="259"/>
      <c r="Z43" s="153"/>
      <c r="AA43" s="153"/>
      <c r="AB43" s="153"/>
      <c r="AC43" s="153"/>
      <c r="AG43" s="153"/>
      <c r="AH43" s="153"/>
      <c r="AI43" s="259"/>
      <c r="AJ43" s="153"/>
      <c r="AK43" s="153"/>
      <c r="AL43" s="147"/>
      <c r="AM43" s="153"/>
      <c r="AN43" s="153"/>
      <c r="AO43" s="259"/>
      <c r="AP43" s="153"/>
      <c r="AQ43" s="153"/>
    </row>
    <row r="44" spans="1:43" ht="28.5" customHeight="1">
      <c r="A44" s="260"/>
      <c r="B44" s="146"/>
      <c r="C44" s="150"/>
      <c r="D44" s="150"/>
      <c r="E44" s="150"/>
      <c r="F44" s="150"/>
      <c r="G44" s="150"/>
      <c r="H44" s="150"/>
      <c r="I44" s="151"/>
      <c r="J44" s="152"/>
      <c r="U44" s="153"/>
      <c r="V44" s="153"/>
      <c r="W44" s="153"/>
      <c r="X44" s="153"/>
      <c r="Y44" s="259"/>
      <c r="Z44" s="153"/>
      <c r="AA44" s="153"/>
      <c r="AB44" s="153"/>
      <c r="AC44" s="153"/>
      <c r="AG44" s="153"/>
      <c r="AH44" s="153"/>
      <c r="AI44" s="259"/>
      <c r="AJ44" s="153"/>
      <c r="AK44" s="153"/>
      <c r="AL44" s="147"/>
      <c r="AM44" s="153"/>
      <c r="AN44" s="153"/>
      <c r="AO44" s="259"/>
      <c r="AP44" s="153"/>
      <c r="AQ44" s="153"/>
    </row>
    <row r="45" spans="1:43" ht="28.5" customHeight="1">
      <c r="A45" s="260"/>
      <c r="B45" s="146"/>
      <c r="C45" s="150"/>
      <c r="D45" s="150"/>
      <c r="E45" s="150"/>
      <c r="F45" s="150"/>
      <c r="G45" s="150"/>
      <c r="H45" s="150"/>
      <c r="I45" s="151"/>
      <c r="J45" s="152"/>
      <c r="U45" s="153"/>
      <c r="V45" s="153"/>
      <c r="W45" s="153"/>
      <c r="X45" s="153"/>
      <c r="Y45" s="259"/>
      <c r="Z45" s="153"/>
      <c r="AA45" s="153"/>
      <c r="AB45" s="153"/>
      <c r="AC45" s="153"/>
      <c r="AG45" s="153"/>
      <c r="AH45" s="153"/>
      <c r="AI45" s="259"/>
      <c r="AJ45" s="153"/>
      <c r="AK45" s="153"/>
      <c r="AL45" s="147"/>
      <c r="AM45" s="153"/>
      <c r="AN45" s="153"/>
      <c r="AO45" s="259"/>
      <c r="AP45" s="153"/>
      <c r="AQ45" s="153"/>
    </row>
    <row r="46" spans="1:43" ht="28.5" customHeight="1">
      <c r="A46" s="260"/>
      <c r="B46" s="146"/>
      <c r="C46" s="150"/>
      <c r="D46" s="150"/>
      <c r="E46" s="150"/>
      <c r="F46" s="150"/>
      <c r="G46" s="150"/>
      <c r="H46" s="150"/>
      <c r="I46" s="151"/>
      <c r="J46" s="152"/>
      <c r="U46" s="153"/>
      <c r="V46" s="153"/>
      <c r="W46" s="153"/>
      <c r="X46" s="153"/>
      <c r="Y46" s="259"/>
      <c r="Z46" s="153"/>
      <c r="AA46" s="153"/>
      <c r="AB46" s="153"/>
      <c r="AC46" s="153"/>
      <c r="AG46" s="153"/>
      <c r="AH46" s="153"/>
      <c r="AI46" s="259"/>
      <c r="AJ46" s="153"/>
      <c r="AK46" s="153"/>
      <c r="AL46" s="147"/>
      <c r="AM46" s="153"/>
      <c r="AN46" s="153"/>
      <c r="AO46" s="259"/>
      <c r="AP46" s="153"/>
      <c r="AQ46" s="153"/>
    </row>
    <row r="47" spans="1:43" ht="28.5" customHeight="1">
      <c r="A47" s="260"/>
      <c r="B47" s="146"/>
      <c r="C47" s="150"/>
      <c r="D47" s="150"/>
      <c r="E47" s="150"/>
      <c r="F47" s="150"/>
      <c r="G47" s="150"/>
      <c r="H47" s="150"/>
      <c r="I47" s="151"/>
      <c r="J47" s="152"/>
      <c r="U47" s="153"/>
      <c r="V47" s="153"/>
      <c r="W47" s="153"/>
      <c r="X47" s="153"/>
      <c r="Y47" s="259"/>
      <c r="Z47" s="153"/>
      <c r="AA47" s="153"/>
      <c r="AB47" s="153"/>
      <c r="AC47" s="153"/>
      <c r="AG47" s="153"/>
      <c r="AH47" s="153"/>
      <c r="AI47" s="259"/>
      <c r="AJ47" s="153"/>
      <c r="AK47" s="153"/>
      <c r="AL47" s="147"/>
      <c r="AM47" s="153"/>
      <c r="AN47" s="153"/>
      <c r="AO47" s="259"/>
      <c r="AP47" s="153"/>
      <c r="AQ47" s="153"/>
    </row>
    <row r="48" spans="1:43" ht="28.5" customHeight="1">
      <c r="A48" s="260"/>
      <c r="B48" s="146"/>
      <c r="C48" s="150"/>
      <c r="D48" s="150"/>
      <c r="E48" s="150"/>
      <c r="F48" s="150"/>
      <c r="G48" s="150"/>
      <c r="H48" s="150"/>
      <c r="I48" s="151"/>
      <c r="J48" s="152"/>
      <c r="U48" s="153"/>
      <c r="V48" s="153"/>
      <c r="W48" s="153"/>
      <c r="X48" s="153"/>
      <c r="Y48" s="259"/>
      <c r="Z48" s="153"/>
      <c r="AA48" s="153"/>
      <c r="AB48" s="153"/>
      <c r="AC48" s="153"/>
      <c r="AG48" s="153"/>
      <c r="AH48" s="153"/>
      <c r="AI48" s="259"/>
      <c r="AJ48" s="153"/>
      <c r="AK48" s="153"/>
      <c r="AL48" s="147"/>
      <c r="AM48" s="153"/>
      <c r="AN48" s="153"/>
      <c r="AO48" s="259"/>
      <c r="AP48" s="153"/>
      <c r="AQ48" s="153"/>
    </row>
    <row r="49" spans="1:43" ht="28.5" customHeight="1">
      <c r="A49" s="260"/>
      <c r="B49" s="146"/>
      <c r="C49" s="150"/>
      <c r="D49" s="150"/>
      <c r="E49" s="150"/>
      <c r="F49" s="150"/>
      <c r="G49" s="150"/>
      <c r="H49" s="150"/>
      <c r="I49" s="151"/>
      <c r="J49" s="152"/>
      <c r="U49" s="153"/>
      <c r="V49" s="153"/>
      <c r="W49" s="153"/>
      <c r="X49" s="153"/>
      <c r="Y49" s="259"/>
      <c r="Z49" s="153"/>
      <c r="AA49" s="153"/>
      <c r="AB49" s="153"/>
      <c r="AC49" s="153"/>
      <c r="AG49" s="153"/>
      <c r="AH49" s="153"/>
      <c r="AI49" s="259"/>
      <c r="AJ49" s="153"/>
      <c r="AK49" s="153"/>
      <c r="AL49" s="147"/>
      <c r="AM49" s="153"/>
      <c r="AN49" s="153"/>
      <c r="AO49" s="259"/>
      <c r="AP49" s="153"/>
      <c r="AQ49" s="153"/>
    </row>
    <row r="50" spans="1:43" ht="28.5" customHeight="1">
      <c r="A50" s="265"/>
      <c r="B50" s="146"/>
      <c r="C50" s="150"/>
      <c r="D50" s="150"/>
      <c r="E50" s="150"/>
      <c r="F50" s="150"/>
      <c r="G50" s="150"/>
      <c r="H50" s="150"/>
      <c r="I50" s="151"/>
      <c r="J50" s="152"/>
      <c r="AL50" s="147"/>
    </row>
    <row r="51" spans="1:43" ht="28.5" customHeight="1">
      <c r="AL51" s="147"/>
    </row>
    <row r="52" spans="1:43" ht="28.5" customHeight="1">
      <c r="AL52" s="147"/>
    </row>
    <row r="53" spans="1:43" ht="28.5" customHeight="1">
      <c r="AL53" s="147"/>
    </row>
  </sheetData>
  <mergeCells count="12">
    <mergeCell ref="AG2:AK2"/>
    <mergeCell ref="AM2:AQ2"/>
    <mergeCell ref="AB2:AF2"/>
    <mergeCell ref="W2:AA2"/>
    <mergeCell ref="B37:N37"/>
    <mergeCell ref="AG3:AK3"/>
    <mergeCell ref="AM3:AQ3"/>
    <mergeCell ref="B39:N39"/>
    <mergeCell ref="R2:V2"/>
    <mergeCell ref="M2:Q2"/>
    <mergeCell ref="H2:L2"/>
    <mergeCell ref="C2:G2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ignoredErrors>
    <ignoredError sqref="L25 G20 L20 G25 Q20 Q25 Q30 AA20 AA25 AA27 G10 L10 Q10 AA10 X30:Y30 AF25 AF27 AK10 AK25 AK27" formula="1"/>
    <ignoredError sqref="AA6:AA9 AA14:AA15 AA21:AA23 AA26 AA16 AA17:AA19 C10:F10 H10:K10 M10:P10 R10:Z10 AB10:AE10 AF24 AF10 AK19 AK21:AK22" formulaRange="1"/>
    <ignoredError sqref="AK11:AK18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S81"/>
  <sheetViews>
    <sheetView showGridLines="0" topLeftCell="A49" zoomScale="80" zoomScaleNormal="80" zoomScaleSheetLayoutView="85" workbookViewId="0">
      <pane xSplit="2" topLeftCell="AK1" activePane="topRight" state="frozen"/>
      <selection pane="topRight" activeCell="AP75" sqref="AP75"/>
    </sheetView>
  </sheetViews>
  <sheetFormatPr defaultColWidth="9" defaultRowHeight="13" outlineLevelCol="1"/>
  <cols>
    <col min="1" max="1" width="53" style="22" customWidth="1"/>
    <col min="2" max="2" width="53" style="2" customWidth="1"/>
    <col min="3" max="3" width="13.58203125" style="2" customWidth="1"/>
    <col min="4" max="4" width="13.75" style="2" customWidth="1"/>
    <col min="5" max="5" width="13.5" style="2" customWidth="1"/>
    <col min="6" max="6" width="14.25" style="2" customWidth="1"/>
    <col min="7" max="7" width="16" style="2" hidden="1" customWidth="1" outlineLevel="1"/>
    <col min="8" max="8" width="14.25" style="4" customWidth="1" collapsed="1"/>
    <col min="9" max="9" width="14.25" style="2" hidden="1" customWidth="1" outlineLevel="1"/>
    <col min="10" max="10" width="13.33203125" style="4" customWidth="1" collapsed="1"/>
    <col min="11" max="11" width="13.33203125" style="2" hidden="1" customWidth="1" outlineLevel="1"/>
    <col min="12" max="12" width="12.58203125" style="2" hidden="1" customWidth="1" outlineLevel="1"/>
    <col min="13" max="13" width="13.25" style="2" customWidth="1" collapsed="1"/>
    <col min="14" max="16" width="14.58203125" style="2" hidden="1" customWidth="1" outlineLevel="1"/>
    <col min="17" max="17" width="14.58203125" style="2" customWidth="1" collapsed="1"/>
    <col min="18" max="20" width="14.58203125" style="2" hidden="1" customWidth="1" outlineLevel="1"/>
    <col min="21" max="21" width="14.58203125" style="2" customWidth="1" collapsed="1"/>
    <col min="22" max="26" width="14.58203125" style="2" customWidth="1"/>
    <col min="27" max="28" width="14.58203125" style="34" customWidth="1"/>
    <col min="29" max="31" width="14.58203125" style="2" customWidth="1"/>
    <col min="32" max="32" width="14.58203125" style="34" customWidth="1"/>
    <col min="33" max="41" width="14.58203125" style="2" customWidth="1"/>
    <col min="42" max="43" width="13.58203125" style="147" customWidth="1"/>
    <col min="44" max="44" width="14.5" style="147" bestFit="1" customWidth="1"/>
    <col min="45" max="45" width="13.58203125" style="147" customWidth="1"/>
    <col min="46" max="16384" width="9" style="2"/>
  </cols>
  <sheetData>
    <row r="1" spans="1:45" ht="28.5" customHeight="1" thickBot="1">
      <c r="A1" s="431" t="s">
        <v>791</v>
      </c>
      <c r="B1" s="432" t="s">
        <v>749</v>
      </c>
      <c r="AP1" s="528"/>
      <c r="AQ1" s="528"/>
      <c r="AR1" s="528"/>
      <c r="AS1" s="528"/>
    </row>
    <row r="2" spans="1:45" ht="31.5" thickBot="1">
      <c r="A2" s="433" t="s">
        <v>890</v>
      </c>
      <c r="B2" s="434"/>
      <c r="C2" s="281" t="s">
        <v>962</v>
      </c>
      <c r="D2" s="281" t="s">
        <v>963</v>
      </c>
      <c r="E2" s="281" t="s">
        <v>964</v>
      </c>
      <c r="F2" s="281" t="s">
        <v>965</v>
      </c>
      <c r="G2" s="282" t="s">
        <v>966</v>
      </c>
      <c r="H2" s="281" t="s">
        <v>967</v>
      </c>
      <c r="I2" s="282" t="s">
        <v>968</v>
      </c>
      <c r="J2" s="281" t="s">
        <v>969</v>
      </c>
      <c r="K2" s="282" t="s">
        <v>970</v>
      </c>
      <c r="L2" s="282" t="s">
        <v>971</v>
      </c>
      <c r="M2" s="281" t="s">
        <v>972</v>
      </c>
      <c r="N2" s="282" t="s">
        <v>86</v>
      </c>
      <c r="O2" s="282" t="s">
        <v>973</v>
      </c>
      <c r="P2" s="282" t="s">
        <v>974</v>
      </c>
      <c r="Q2" s="281" t="s">
        <v>975</v>
      </c>
      <c r="R2" s="282" t="s">
        <v>976</v>
      </c>
      <c r="S2" s="282" t="s">
        <v>977</v>
      </c>
      <c r="T2" s="282" t="s">
        <v>978</v>
      </c>
      <c r="U2" s="280" t="s">
        <v>979</v>
      </c>
      <c r="V2" s="282" t="s">
        <v>980</v>
      </c>
      <c r="W2" s="282" t="s">
        <v>981</v>
      </c>
      <c r="X2" s="282" t="s">
        <v>982</v>
      </c>
      <c r="Y2" s="281" t="s">
        <v>983</v>
      </c>
      <c r="Z2" s="282" t="s">
        <v>984</v>
      </c>
      <c r="AA2" s="282" t="s">
        <v>985</v>
      </c>
      <c r="AB2" s="282" t="s">
        <v>986</v>
      </c>
      <c r="AC2" s="281" t="s">
        <v>987</v>
      </c>
      <c r="AD2" s="282" t="s">
        <v>988</v>
      </c>
      <c r="AE2" s="282" t="s">
        <v>989</v>
      </c>
      <c r="AF2" s="282" t="s">
        <v>990</v>
      </c>
      <c r="AG2" s="281" t="s">
        <v>991</v>
      </c>
      <c r="AH2" s="282" t="s">
        <v>992</v>
      </c>
      <c r="AI2" s="282" t="s">
        <v>993</v>
      </c>
      <c r="AJ2" s="282" t="s">
        <v>994</v>
      </c>
      <c r="AK2" s="281" t="s">
        <v>995</v>
      </c>
      <c r="AL2" s="282" t="s">
        <v>1019</v>
      </c>
      <c r="AM2" s="282" t="s">
        <v>1023</v>
      </c>
      <c r="AN2" s="282" t="s">
        <v>1026</v>
      </c>
      <c r="AO2" s="281" t="s">
        <v>1068</v>
      </c>
      <c r="AP2" s="555" t="s">
        <v>1069</v>
      </c>
      <c r="AQ2" s="282" t="s">
        <v>1048</v>
      </c>
      <c r="AR2" s="282" t="s">
        <v>1050</v>
      </c>
      <c r="AS2" s="281" t="s">
        <v>1052</v>
      </c>
    </row>
    <row r="3" spans="1:45" s="147" customFormat="1" ht="39.5" thickBot="1">
      <c r="A3" s="433"/>
      <c r="B3" s="434" t="s">
        <v>829</v>
      </c>
      <c r="C3" s="281" t="s">
        <v>6</v>
      </c>
      <c r="D3" s="281" t="s">
        <v>7</v>
      </c>
      <c r="E3" s="281" t="s">
        <v>8</v>
      </c>
      <c r="F3" s="281" t="s">
        <v>9</v>
      </c>
      <c r="G3" s="282" t="s">
        <v>10</v>
      </c>
      <c r="H3" s="281" t="s">
        <v>58</v>
      </c>
      <c r="I3" s="282" t="s">
        <v>68</v>
      </c>
      <c r="J3" s="281" t="s">
        <v>69</v>
      </c>
      <c r="K3" s="282" t="s">
        <v>74</v>
      </c>
      <c r="L3" s="282" t="s">
        <v>116</v>
      </c>
      <c r="M3" s="281" t="s">
        <v>115</v>
      </c>
      <c r="N3" s="282" t="s">
        <v>86</v>
      </c>
      <c r="O3" s="282" t="s">
        <v>95</v>
      </c>
      <c r="P3" s="282" t="s">
        <v>109</v>
      </c>
      <c r="Q3" s="281" t="s">
        <v>778</v>
      </c>
      <c r="R3" s="282" t="s">
        <v>121</v>
      </c>
      <c r="S3" s="282" t="s">
        <v>124</v>
      </c>
      <c r="T3" s="282" t="s">
        <v>129</v>
      </c>
      <c r="U3" s="280" t="s">
        <v>132</v>
      </c>
      <c r="V3" s="282" t="s">
        <v>140</v>
      </c>
      <c r="W3" s="282" t="s">
        <v>143</v>
      </c>
      <c r="X3" s="282" t="s">
        <v>153</v>
      </c>
      <c r="Y3" s="281" t="s">
        <v>156</v>
      </c>
      <c r="Z3" s="282" t="s">
        <v>159</v>
      </c>
      <c r="AA3" s="282" t="s">
        <v>745</v>
      </c>
      <c r="AB3" s="282" t="s">
        <v>731</v>
      </c>
      <c r="AC3" s="281" t="s">
        <v>828</v>
      </c>
      <c r="AD3" s="282" t="s">
        <v>738</v>
      </c>
      <c r="AE3" s="282" t="s">
        <v>744</v>
      </c>
      <c r="AF3" s="282" t="s">
        <v>747</v>
      </c>
      <c r="AG3" s="281" t="s">
        <v>757</v>
      </c>
      <c r="AH3" s="282" t="s">
        <v>760</v>
      </c>
      <c r="AI3" s="282" t="s">
        <v>768</v>
      </c>
      <c r="AJ3" s="282" t="s">
        <v>782</v>
      </c>
      <c r="AK3" s="281" t="s">
        <v>787</v>
      </c>
      <c r="AL3" s="282" t="s">
        <v>1020</v>
      </c>
      <c r="AM3" s="282" t="s">
        <v>1024</v>
      </c>
      <c r="AN3" s="282" t="s">
        <v>1025</v>
      </c>
      <c r="AO3" s="281" t="s">
        <v>1070</v>
      </c>
      <c r="AP3" s="555" t="s">
        <v>1091</v>
      </c>
      <c r="AQ3" s="282" t="s">
        <v>1049</v>
      </c>
      <c r="AR3" s="282" t="s">
        <v>1051</v>
      </c>
      <c r="AS3" s="281" t="s">
        <v>1053</v>
      </c>
    </row>
    <row r="4" spans="1:45" s="239" customFormat="1" ht="33" customHeight="1">
      <c r="A4" s="285" t="s">
        <v>831</v>
      </c>
      <c r="B4" s="401" t="s">
        <v>11</v>
      </c>
      <c r="C4" s="233"/>
      <c r="D4" s="233"/>
      <c r="E4" s="233"/>
      <c r="F4" s="234"/>
      <c r="G4" s="235"/>
      <c r="H4" s="236"/>
      <c r="I4" s="237"/>
      <c r="J4" s="238"/>
      <c r="K4" s="237"/>
      <c r="L4" s="237"/>
      <c r="M4" s="238"/>
      <c r="N4" s="237"/>
      <c r="O4" s="237"/>
      <c r="P4" s="237"/>
      <c r="Q4" s="238"/>
      <c r="R4" s="237"/>
      <c r="S4" s="237"/>
      <c r="T4" s="237"/>
      <c r="U4" s="238"/>
      <c r="V4" s="237"/>
      <c r="W4" s="237"/>
      <c r="X4" s="237"/>
      <c r="Y4" s="238"/>
      <c r="Z4" s="237"/>
      <c r="AA4" s="40"/>
      <c r="AB4" s="40"/>
      <c r="AC4" s="238"/>
      <c r="AD4" s="237"/>
      <c r="AE4" s="237"/>
      <c r="AF4" s="40"/>
      <c r="AG4" s="238"/>
      <c r="AH4" s="237"/>
      <c r="AI4" s="237"/>
      <c r="AJ4" s="237"/>
      <c r="AK4" s="238"/>
      <c r="AL4" s="237"/>
      <c r="AM4" s="237"/>
      <c r="AN4" s="237"/>
      <c r="AO4" s="238"/>
      <c r="AP4" s="543"/>
      <c r="AQ4" s="543"/>
      <c r="AR4" s="543"/>
      <c r="AS4" s="238"/>
    </row>
    <row r="5" spans="1:45" s="143" customFormat="1" ht="20.149999999999999" customHeight="1">
      <c r="A5" s="396" t="s">
        <v>832</v>
      </c>
      <c r="B5" s="427" t="s">
        <v>12</v>
      </c>
      <c r="C5" s="289">
        <f>104132*1/1000</f>
        <v>104.13200000000001</v>
      </c>
      <c r="D5" s="289">
        <f>42144*1/1000</f>
        <v>42.143999999999998</v>
      </c>
      <c r="E5" s="289">
        <f>7979*1/1000</f>
        <v>7.9790000000000001</v>
      </c>
      <c r="F5" s="290">
        <f>549*1/1000</f>
        <v>0.54900000000000004</v>
      </c>
      <c r="G5" s="291">
        <v>0.378</v>
      </c>
      <c r="H5" s="289">
        <f>20785*1/1000</f>
        <v>20.785</v>
      </c>
      <c r="I5" s="292">
        <f>49123*(1/1000)</f>
        <v>49.122999999999998</v>
      </c>
      <c r="J5" s="289">
        <f>122457*1/1000</f>
        <v>122.45699999999999</v>
      </c>
      <c r="K5" s="293">
        <f>183637*1/1000</f>
        <v>183.637</v>
      </c>
      <c r="L5" s="294">
        <f>215832*1/1000</f>
        <v>215.83199999999999</v>
      </c>
      <c r="M5" s="295">
        <f>275399*1/1000</f>
        <v>275.399</v>
      </c>
      <c r="N5" s="294">
        <f>320402*1/1000</f>
        <v>320.40199999999999</v>
      </c>
      <c r="O5" s="294">
        <f>359907*1/1000</f>
        <v>359.90699999999998</v>
      </c>
      <c r="P5" s="294">
        <f>386044*1/1000</f>
        <v>386.04399999999998</v>
      </c>
      <c r="Q5" s="295">
        <f>408610*1/1000</f>
        <v>408.61</v>
      </c>
      <c r="R5" s="294">
        <f>415308*1/1000</f>
        <v>415.30799999999999</v>
      </c>
      <c r="S5" s="294">
        <f>419479*1/1000</f>
        <v>419.47899999999998</v>
      </c>
      <c r="T5" s="294">
        <f>425068*1/1000</f>
        <v>425.06799999999998</v>
      </c>
      <c r="U5" s="295">
        <f>420060*1/1000</f>
        <v>420.06</v>
      </c>
      <c r="V5" s="294">
        <f>419894*1/1000</f>
        <v>419.89400000000001</v>
      </c>
      <c r="W5" s="294">
        <f>418521*1/1000</f>
        <v>418.52100000000002</v>
      </c>
      <c r="X5" s="294">
        <f>409736*1/1000</f>
        <v>409.73599999999999</v>
      </c>
      <c r="Y5" s="295">
        <f>407579*1/1000</f>
        <v>407.57900000000001</v>
      </c>
      <c r="Z5" s="294">
        <f>395393*1/1000</f>
        <v>395.39299999999997</v>
      </c>
      <c r="AA5" s="296">
        <v>384.8</v>
      </c>
      <c r="AB5" s="296">
        <v>417</v>
      </c>
      <c r="AC5" s="297">
        <v>421.1</v>
      </c>
      <c r="AD5" s="298">
        <v>416.6</v>
      </c>
      <c r="AE5" s="298">
        <v>401.1</v>
      </c>
      <c r="AF5" s="296">
        <v>377</v>
      </c>
      <c r="AG5" s="299">
        <v>371</v>
      </c>
      <c r="AH5" s="300">
        <v>356.7</v>
      </c>
      <c r="AI5" s="300">
        <v>353.3</v>
      </c>
      <c r="AJ5" s="300">
        <v>350.4</v>
      </c>
      <c r="AK5" s="299">
        <v>350.9</v>
      </c>
      <c r="AL5" s="300">
        <v>342.2</v>
      </c>
      <c r="AM5" s="300">
        <v>332.9</v>
      </c>
      <c r="AN5" s="300">
        <v>324</v>
      </c>
      <c r="AO5" s="299">
        <v>325.3</v>
      </c>
      <c r="AP5" s="529">
        <v>312.5</v>
      </c>
      <c r="AQ5" s="529"/>
      <c r="AR5" s="529"/>
      <c r="AS5" s="299"/>
    </row>
    <row r="6" spans="1:45" s="143" customFormat="1" ht="20.149999999999999" customHeight="1">
      <c r="A6" s="396" t="s">
        <v>833</v>
      </c>
      <c r="B6" s="427" t="s">
        <v>13</v>
      </c>
      <c r="C6" s="289">
        <f>14741*1/1000</f>
        <v>14.741</v>
      </c>
      <c r="D6" s="289">
        <f>16217*1/1000</f>
        <v>16.216999999999999</v>
      </c>
      <c r="E6" s="289">
        <f>45717*1/1000</f>
        <v>45.716999999999999</v>
      </c>
      <c r="F6" s="290">
        <f>97326*1/1000</f>
        <v>97.325999999999993</v>
      </c>
      <c r="G6" s="291">
        <f>107330*(1/1000)</f>
        <v>107.33</v>
      </c>
      <c r="H6" s="289">
        <f>125970*1/1000</f>
        <v>125.97</v>
      </c>
      <c r="I6" s="292">
        <f>141404*(1/1000)</f>
        <v>141.404</v>
      </c>
      <c r="J6" s="289">
        <f>146228*1/1000</f>
        <v>146.22800000000001</v>
      </c>
      <c r="K6" s="293">
        <f>156728*1/1000</f>
        <v>156.72800000000001</v>
      </c>
      <c r="L6" s="294">
        <f>153942*1/1000</f>
        <v>153.94200000000001</v>
      </c>
      <c r="M6" s="295">
        <f>152857*1/1000</f>
        <v>152.857</v>
      </c>
      <c r="N6" s="294">
        <f>152588*1/1000</f>
        <v>152.58799999999999</v>
      </c>
      <c r="O6" s="294">
        <f>272116*1/1000</f>
        <v>272.11599999999999</v>
      </c>
      <c r="P6" s="294">
        <f>265264*1/1000</f>
        <v>265.26400000000001</v>
      </c>
      <c r="Q6" s="295">
        <f>263277*1/1000</f>
        <v>263.27699999999999</v>
      </c>
      <c r="R6" s="294">
        <f>258700*1/1000</f>
        <v>258.7</v>
      </c>
      <c r="S6" s="294">
        <f>258506*1/1000</f>
        <v>258.50599999999997</v>
      </c>
      <c r="T6" s="294">
        <f>257043*1/1000</f>
        <v>257.04300000000001</v>
      </c>
      <c r="U6" s="295">
        <f>276407*1/1000</f>
        <v>276.40699999999998</v>
      </c>
      <c r="V6" s="294">
        <f>266252*1/1000</f>
        <v>266.25200000000001</v>
      </c>
      <c r="W6" s="294">
        <f>265011*1/1000</f>
        <v>265.01100000000002</v>
      </c>
      <c r="X6" s="294">
        <f>252063*1/1000</f>
        <v>252.06299999999999</v>
      </c>
      <c r="Y6" s="295">
        <f>251152*1/1000</f>
        <v>251.15199999999999</v>
      </c>
      <c r="Z6" s="294">
        <f>248178*1/1000</f>
        <v>248.178</v>
      </c>
      <c r="AA6" s="301">
        <v>3010.6</v>
      </c>
      <c r="AB6" s="301">
        <v>2933.8</v>
      </c>
      <c r="AC6" s="297">
        <v>2714.9</v>
      </c>
      <c r="AD6" s="298">
        <v>2855.8</v>
      </c>
      <c r="AE6" s="298">
        <v>2541.1999999999998</v>
      </c>
      <c r="AF6" s="301">
        <v>2535.1999999999998</v>
      </c>
      <c r="AG6" s="299">
        <v>2548.6</v>
      </c>
      <c r="AH6" s="300">
        <v>3002.2</v>
      </c>
      <c r="AI6" s="300">
        <v>2931</v>
      </c>
      <c r="AJ6" s="300">
        <v>2882.8</v>
      </c>
      <c r="AK6" s="299">
        <v>2964.3</v>
      </c>
      <c r="AL6" s="300">
        <v>2885.9</v>
      </c>
      <c r="AM6" s="300">
        <v>2904.7</v>
      </c>
      <c r="AN6" s="300">
        <v>2866.4</v>
      </c>
      <c r="AO6" s="299">
        <v>2867.1</v>
      </c>
      <c r="AP6" s="529">
        <v>2797</v>
      </c>
      <c r="AQ6" s="529"/>
      <c r="AR6" s="529"/>
      <c r="AS6" s="299"/>
    </row>
    <row r="7" spans="1:45" s="143" customFormat="1" ht="20.149999999999999" customHeight="1">
      <c r="A7" s="396" t="s">
        <v>834</v>
      </c>
      <c r="B7" s="427" t="s">
        <v>16</v>
      </c>
      <c r="C7" s="302">
        <f t="shared" ref="C7:D9" si="0">(0*1/1000)</f>
        <v>0</v>
      </c>
      <c r="D7" s="302">
        <f t="shared" si="0"/>
        <v>0</v>
      </c>
      <c r="E7" s="303">
        <f>(14*1/1000)</f>
        <v>1.4E-2</v>
      </c>
      <c r="F7" s="302">
        <f>0*1/1000</f>
        <v>0</v>
      </c>
      <c r="G7" s="304">
        <f>(0*1/1000)</f>
        <v>0</v>
      </c>
      <c r="H7" s="302">
        <f>0*1/1000</f>
        <v>0</v>
      </c>
      <c r="I7" s="304">
        <f>0*$B$80</f>
        <v>0</v>
      </c>
      <c r="J7" s="302">
        <f>0*1/1000</f>
        <v>0</v>
      </c>
      <c r="K7" s="305">
        <f>52088*1/1000</f>
        <v>52.088000000000001</v>
      </c>
      <c r="L7" s="294">
        <f>52022*1/1000</f>
        <v>52.021999999999998</v>
      </c>
      <c r="M7" s="295">
        <f>52022*1/1000</f>
        <v>52.021999999999998</v>
      </c>
      <c r="N7" s="294">
        <f>52022*1/1000</f>
        <v>52.021999999999998</v>
      </c>
      <c r="O7" s="294">
        <f>2412285*1/1000</f>
        <v>2412.2849999999999</v>
      </c>
      <c r="P7" s="294">
        <f>2412285*1/1000</f>
        <v>2412.2849999999999</v>
      </c>
      <c r="Q7" s="295">
        <f>2412285*1/1000</f>
        <v>2412.2849999999999</v>
      </c>
      <c r="R7" s="294">
        <f>2422989*1/1000</f>
        <v>2422.989</v>
      </c>
      <c r="S7" s="294">
        <f>2575456*1/1000</f>
        <v>2575.4560000000001</v>
      </c>
      <c r="T7" s="294">
        <f>2575456*1/1000</f>
        <v>2575.4560000000001</v>
      </c>
      <c r="U7" s="295">
        <f>2568033*1/1000</f>
        <v>2568.0329999999999</v>
      </c>
      <c r="V7" s="294">
        <f>2568033*1/1000</f>
        <v>2568.0329999999999</v>
      </c>
      <c r="W7" s="294">
        <f>2568033*1/1000</f>
        <v>2568.0329999999999</v>
      </c>
      <c r="X7" s="294">
        <f>2637594*1/1000</f>
        <v>2637.5940000000001</v>
      </c>
      <c r="Y7" s="295">
        <f>2602804*1/1000</f>
        <v>2602.8040000000001</v>
      </c>
      <c r="Z7" s="294">
        <f>2602804*1/1000</f>
        <v>2602.8040000000001</v>
      </c>
      <c r="AA7" s="301">
        <v>11735.5</v>
      </c>
      <c r="AB7" s="301">
        <v>11735.5</v>
      </c>
      <c r="AC7" s="297">
        <v>10585.3</v>
      </c>
      <c r="AD7" s="298">
        <v>10831.2</v>
      </c>
      <c r="AE7" s="298">
        <v>10606.4</v>
      </c>
      <c r="AF7" s="301">
        <v>10606.4</v>
      </c>
      <c r="AG7" s="299">
        <v>10606.4</v>
      </c>
      <c r="AH7" s="300">
        <v>11675.3</v>
      </c>
      <c r="AI7" s="300">
        <v>10975.2</v>
      </c>
      <c r="AJ7" s="300">
        <v>10975.3</v>
      </c>
      <c r="AK7" s="299">
        <v>10975.4</v>
      </c>
      <c r="AL7" s="300">
        <v>10975.4</v>
      </c>
      <c r="AM7" s="300">
        <v>10975.4</v>
      </c>
      <c r="AN7" s="300">
        <v>10975.4</v>
      </c>
      <c r="AO7" s="299">
        <v>11041.7</v>
      </c>
      <c r="AP7" s="529">
        <v>11060.5</v>
      </c>
      <c r="AQ7" s="529"/>
      <c r="AR7" s="529"/>
      <c r="AS7" s="299"/>
    </row>
    <row r="8" spans="1:45" s="143" customFormat="1" ht="20.149999999999999" customHeight="1">
      <c r="A8" s="396" t="s">
        <v>835</v>
      </c>
      <c r="B8" s="427" t="s">
        <v>776</v>
      </c>
      <c r="C8" s="302">
        <f t="shared" si="0"/>
        <v>0</v>
      </c>
      <c r="D8" s="302">
        <f t="shared" si="0"/>
        <v>0</v>
      </c>
      <c r="E8" s="302">
        <f>(0*1/1000)</f>
        <v>0</v>
      </c>
      <c r="F8" s="302">
        <f>0*1/1000</f>
        <v>0</v>
      </c>
      <c r="G8" s="304">
        <f>(0*1/1000)</f>
        <v>0</v>
      </c>
      <c r="H8" s="302">
        <f>0*1/1000</f>
        <v>0</v>
      </c>
      <c r="I8" s="304">
        <f>0*$B$80</f>
        <v>0</v>
      </c>
      <c r="J8" s="302">
        <f>0*1/1000</f>
        <v>0</v>
      </c>
      <c r="K8" s="306">
        <f t="shared" ref="K8:Z8" si="1">0*1/1000</f>
        <v>0</v>
      </c>
      <c r="L8" s="306">
        <f t="shared" si="1"/>
        <v>0</v>
      </c>
      <c r="M8" s="307">
        <f t="shared" si="1"/>
        <v>0</v>
      </c>
      <c r="N8" s="306">
        <f t="shared" si="1"/>
        <v>0</v>
      </c>
      <c r="O8" s="306">
        <f t="shared" si="1"/>
        <v>0</v>
      </c>
      <c r="P8" s="306">
        <f t="shared" si="1"/>
        <v>0</v>
      </c>
      <c r="Q8" s="307">
        <f t="shared" si="1"/>
        <v>0</v>
      </c>
      <c r="R8" s="306">
        <f t="shared" si="1"/>
        <v>0</v>
      </c>
      <c r="S8" s="306">
        <f t="shared" si="1"/>
        <v>0</v>
      </c>
      <c r="T8" s="306">
        <f t="shared" si="1"/>
        <v>0</v>
      </c>
      <c r="U8" s="307">
        <f t="shared" si="1"/>
        <v>0</v>
      </c>
      <c r="V8" s="306">
        <f t="shared" si="1"/>
        <v>0</v>
      </c>
      <c r="W8" s="306">
        <f t="shared" si="1"/>
        <v>0</v>
      </c>
      <c r="X8" s="306">
        <f t="shared" si="1"/>
        <v>0</v>
      </c>
      <c r="Y8" s="307">
        <f t="shared" si="1"/>
        <v>0</v>
      </c>
      <c r="Z8" s="306">
        <f t="shared" si="1"/>
        <v>0</v>
      </c>
      <c r="AA8" s="301">
        <v>4482</v>
      </c>
      <c r="AB8" s="301">
        <v>4331.8999999999996</v>
      </c>
      <c r="AC8" s="297">
        <v>4255.8</v>
      </c>
      <c r="AD8" s="308">
        <v>4002.2</v>
      </c>
      <c r="AE8" s="308">
        <v>3944.6</v>
      </c>
      <c r="AF8" s="301">
        <v>3791.6</v>
      </c>
      <c r="AG8" s="299">
        <v>3638.5</v>
      </c>
      <c r="AH8" s="309">
        <v>3488.7</v>
      </c>
      <c r="AI8" s="309">
        <v>3337.3</v>
      </c>
      <c r="AJ8" s="309">
        <v>3184.2</v>
      </c>
      <c r="AK8" s="299">
        <v>3031.2</v>
      </c>
      <c r="AL8" s="309">
        <v>2883.1</v>
      </c>
      <c r="AM8" s="309">
        <v>2762.8</v>
      </c>
      <c r="AN8" s="309">
        <v>2660.5</v>
      </c>
      <c r="AO8" s="299">
        <v>2557.3000000000002</v>
      </c>
      <c r="AP8" s="529">
        <v>2458.6</v>
      </c>
      <c r="AQ8" s="530"/>
      <c r="AR8" s="530"/>
      <c r="AS8" s="299"/>
    </row>
    <row r="9" spans="1:45" s="143" customFormat="1" ht="20.149999999999999" customHeight="1">
      <c r="A9" s="396" t="s">
        <v>836</v>
      </c>
      <c r="B9" s="427" t="s">
        <v>97</v>
      </c>
      <c r="C9" s="302">
        <f t="shared" si="0"/>
        <v>0</v>
      </c>
      <c r="D9" s="302">
        <f t="shared" si="0"/>
        <v>0</v>
      </c>
      <c r="E9" s="302">
        <f>(0*1/1000)</f>
        <v>0</v>
      </c>
      <c r="F9" s="302">
        <f>0*1/1000</f>
        <v>0</v>
      </c>
      <c r="G9" s="304">
        <f>(0*1/1000)</f>
        <v>0</v>
      </c>
      <c r="H9" s="302">
        <f>0*1/1000</f>
        <v>0</v>
      </c>
      <c r="I9" s="304">
        <f>0*$B$80</f>
        <v>0</v>
      </c>
      <c r="J9" s="302">
        <f>0*1/1000</f>
        <v>0</v>
      </c>
      <c r="K9" s="293">
        <f>(450)*1/1000</f>
        <v>0.45</v>
      </c>
      <c r="L9" s="293">
        <f>375*1/1000</f>
        <v>0.375</v>
      </c>
      <c r="M9" s="310">
        <f>300*1/1000</f>
        <v>0.3</v>
      </c>
      <c r="N9" s="293">
        <f>225*1/1000</f>
        <v>0.22500000000000001</v>
      </c>
      <c r="O9" s="294">
        <f t="shared" ref="O9:T9" si="2">840000*1/1000</f>
        <v>840</v>
      </c>
      <c r="P9" s="294">
        <f t="shared" si="2"/>
        <v>840</v>
      </c>
      <c r="Q9" s="295">
        <f t="shared" si="2"/>
        <v>840</v>
      </c>
      <c r="R9" s="294">
        <f t="shared" si="2"/>
        <v>840</v>
      </c>
      <c r="S9" s="294">
        <f t="shared" si="2"/>
        <v>840</v>
      </c>
      <c r="T9" s="294">
        <f t="shared" si="2"/>
        <v>840</v>
      </c>
      <c r="U9" s="295">
        <f>847800*1/1000</f>
        <v>847.8</v>
      </c>
      <c r="V9" s="294">
        <f>847800*1/1000</f>
        <v>847.8</v>
      </c>
      <c r="W9" s="294">
        <f>847800*1/1000</f>
        <v>847.8</v>
      </c>
      <c r="X9" s="294">
        <f>847800*1/1000</f>
        <v>847.8</v>
      </c>
      <c r="Y9" s="295">
        <f>890800*1/1000</f>
        <v>890.8</v>
      </c>
      <c r="Z9" s="294">
        <f>890800*1/1000</f>
        <v>890.8</v>
      </c>
      <c r="AA9" s="311">
        <v>890.8</v>
      </c>
      <c r="AB9" s="311">
        <v>890.8</v>
      </c>
      <c r="AC9" s="297">
        <v>2085.9</v>
      </c>
      <c r="AD9" s="298">
        <v>1783.7</v>
      </c>
      <c r="AE9" s="298">
        <v>2092.6999999999998</v>
      </c>
      <c r="AF9" s="311">
        <v>2086.6</v>
      </c>
      <c r="AG9" s="299">
        <v>2080.6</v>
      </c>
      <c r="AH9" s="300">
        <v>2074.6</v>
      </c>
      <c r="AI9" s="300">
        <v>2068.6</v>
      </c>
      <c r="AJ9" s="300">
        <v>2062.5</v>
      </c>
      <c r="AK9" s="299">
        <v>2056.5</v>
      </c>
      <c r="AL9" s="300">
        <v>2050.5</v>
      </c>
      <c r="AM9" s="300">
        <v>2044.4</v>
      </c>
      <c r="AN9" s="300">
        <v>2038.4</v>
      </c>
      <c r="AO9" s="299">
        <v>2037.1</v>
      </c>
      <c r="AP9" s="529">
        <v>2031</v>
      </c>
      <c r="AQ9" s="529"/>
      <c r="AR9" s="529"/>
      <c r="AS9" s="299"/>
    </row>
    <row r="10" spans="1:45" s="143" customFormat="1" ht="20.149999999999999" customHeight="1">
      <c r="A10" s="396" t="s">
        <v>837</v>
      </c>
      <c r="B10" s="427" t="s">
        <v>103</v>
      </c>
      <c r="C10" s="289">
        <f>5195*1/1000</f>
        <v>5.1950000000000003</v>
      </c>
      <c r="D10" s="289">
        <f>6746*1/1000</f>
        <v>6.7460000000000004</v>
      </c>
      <c r="E10" s="289">
        <f>4395*1/1000</f>
        <v>4.3949999999999996</v>
      </c>
      <c r="F10" s="290">
        <f>11465*1/1000</f>
        <v>11.465</v>
      </c>
      <c r="G10" s="291">
        <f>13620*(1/1000)</f>
        <v>13.620000000000001</v>
      </c>
      <c r="H10" s="289">
        <f>11876*1/1000</f>
        <v>11.875999999999999</v>
      </c>
      <c r="I10" s="292">
        <f>11476*(1/1000)</f>
        <v>11.476000000000001</v>
      </c>
      <c r="J10" s="289">
        <f>14165*1/1000</f>
        <v>14.164999999999999</v>
      </c>
      <c r="K10" s="293">
        <f>19994*1/1000</f>
        <v>19.994</v>
      </c>
      <c r="L10" s="294">
        <f>20527*1/1000</f>
        <v>20.527000000000001</v>
      </c>
      <c r="M10" s="295">
        <f>22944*1/1000</f>
        <v>22.943999999999999</v>
      </c>
      <c r="N10" s="294">
        <f>21112*1/1000</f>
        <v>21.111999999999998</v>
      </c>
      <c r="O10" s="294">
        <f>47470*1/1000</f>
        <v>47.47</v>
      </c>
      <c r="P10" s="294">
        <f>47780*1/1000</f>
        <v>47.78</v>
      </c>
      <c r="Q10" s="295">
        <f>54194*1/1000</f>
        <v>54.194000000000003</v>
      </c>
      <c r="R10" s="294">
        <f>69466*1/1000</f>
        <v>69.465999999999994</v>
      </c>
      <c r="S10" s="294">
        <f>69627*1/1000</f>
        <v>69.626999999999995</v>
      </c>
      <c r="T10" s="294">
        <f>68459*1/1000</f>
        <v>68.459000000000003</v>
      </c>
      <c r="U10" s="295">
        <f>81380*1/1000</f>
        <v>81.38</v>
      </c>
      <c r="V10" s="294">
        <f>82841*1/1000</f>
        <v>82.840999999999994</v>
      </c>
      <c r="W10" s="294">
        <f>83804*1/1000</f>
        <v>83.804000000000002</v>
      </c>
      <c r="X10" s="294">
        <f>115337*1/1000</f>
        <v>115.337</v>
      </c>
      <c r="Y10" s="295">
        <f>137401*1/1000</f>
        <v>137.40100000000001</v>
      </c>
      <c r="Z10" s="294">
        <f>136697*1/1000</f>
        <v>136.697</v>
      </c>
      <c r="AA10" s="301">
        <v>2360.6</v>
      </c>
      <c r="AB10" s="301">
        <v>2624.2</v>
      </c>
      <c r="AC10" s="297">
        <v>2591.4</v>
      </c>
      <c r="AD10" s="298">
        <v>2527.5</v>
      </c>
      <c r="AE10" s="298">
        <v>2525.8000000000002</v>
      </c>
      <c r="AF10" s="301">
        <v>2464.1999999999998</v>
      </c>
      <c r="AG10" s="299">
        <v>2422.1999999999998</v>
      </c>
      <c r="AH10" s="300">
        <v>2988.7</v>
      </c>
      <c r="AI10" s="300">
        <v>3903</v>
      </c>
      <c r="AJ10" s="300">
        <v>3769.5</v>
      </c>
      <c r="AK10" s="299">
        <v>3656.2</v>
      </c>
      <c r="AL10" s="300">
        <v>3540.5</v>
      </c>
      <c r="AM10" s="300">
        <v>3471.1</v>
      </c>
      <c r="AN10" s="300">
        <v>3343.6</v>
      </c>
      <c r="AO10" s="299">
        <v>3261.5</v>
      </c>
      <c r="AP10" s="529">
        <v>3146.4</v>
      </c>
      <c r="AQ10" s="529"/>
      <c r="AR10" s="529"/>
      <c r="AS10" s="299"/>
    </row>
    <row r="11" spans="1:45" s="143" customFormat="1" ht="20.149999999999999" customHeight="1">
      <c r="A11" s="396" t="s">
        <v>838</v>
      </c>
      <c r="B11" s="427" t="s">
        <v>98</v>
      </c>
      <c r="C11" s="302">
        <f>(0*1/1000)</f>
        <v>0</v>
      </c>
      <c r="D11" s="302">
        <f>(0*1/1000)</f>
        <v>0</v>
      </c>
      <c r="E11" s="302">
        <f>(0*1/1000)</f>
        <v>0</v>
      </c>
      <c r="F11" s="302">
        <f>0*1/1000</f>
        <v>0</v>
      </c>
      <c r="G11" s="304">
        <f>(0*1/1000)</f>
        <v>0</v>
      </c>
      <c r="H11" s="302">
        <f>0*1/1000</f>
        <v>0</v>
      </c>
      <c r="I11" s="304">
        <f>0*$B$80</f>
        <v>0</v>
      </c>
      <c r="J11" s="302">
        <f t="shared" ref="J11:N12" si="3">0*1/1000</f>
        <v>0</v>
      </c>
      <c r="K11" s="306">
        <f t="shared" si="3"/>
        <v>0</v>
      </c>
      <c r="L11" s="306">
        <f t="shared" si="3"/>
        <v>0</v>
      </c>
      <c r="M11" s="307">
        <f t="shared" si="3"/>
        <v>0</v>
      </c>
      <c r="N11" s="306">
        <f t="shared" si="3"/>
        <v>0</v>
      </c>
      <c r="O11" s="294">
        <f>114797*1/1000</f>
        <v>114.797</v>
      </c>
      <c r="P11" s="294">
        <f>129170*1/1000</f>
        <v>129.16999999999999</v>
      </c>
      <c r="Q11" s="295">
        <f>131141*1/1000</f>
        <v>131.14099999999999</v>
      </c>
      <c r="R11" s="294">
        <f>91415*1/1000</f>
        <v>91.415000000000006</v>
      </c>
      <c r="S11" s="294">
        <f>95405*1/1000</f>
        <v>95.405000000000001</v>
      </c>
      <c r="T11" s="294">
        <f>95323*1/1000</f>
        <v>95.322999999999993</v>
      </c>
      <c r="U11" s="295">
        <f>97988*1/1000</f>
        <v>97.988</v>
      </c>
      <c r="V11" s="294">
        <f>104074*1/1000</f>
        <v>104.074</v>
      </c>
      <c r="W11" s="294">
        <f>115904*1/1000</f>
        <v>115.904</v>
      </c>
      <c r="X11" s="294">
        <f>82162*1/1000</f>
        <v>82.162000000000006</v>
      </c>
      <c r="Y11" s="295">
        <f>71571*1/1000</f>
        <v>71.570999999999998</v>
      </c>
      <c r="Z11" s="294">
        <f>107548*1/1000</f>
        <v>107.548</v>
      </c>
      <c r="AA11" s="311">
        <v>128.1</v>
      </c>
      <c r="AB11" s="311">
        <v>148.80000000000001</v>
      </c>
      <c r="AC11" s="297">
        <v>135.80000000000001</v>
      </c>
      <c r="AD11" s="298">
        <v>158.69999999999999</v>
      </c>
      <c r="AE11" s="298">
        <v>174.6</v>
      </c>
      <c r="AF11" s="311">
        <v>109</v>
      </c>
      <c r="AG11" s="299">
        <v>145</v>
      </c>
      <c r="AH11" s="300">
        <v>129.80000000000001</v>
      </c>
      <c r="AI11" s="300">
        <v>156.19999999999999</v>
      </c>
      <c r="AJ11" s="300">
        <v>125.6</v>
      </c>
      <c r="AK11" s="299">
        <v>151.80000000000001</v>
      </c>
      <c r="AL11" s="300">
        <v>150</v>
      </c>
      <c r="AM11" s="300">
        <v>167.3</v>
      </c>
      <c r="AN11" s="300">
        <v>180.5</v>
      </c>
      <c r="AO11" s="299">
        <v>170.1</v>
      </c>
      <c r="AP11" s="529">
        <v>170.1</v>
      </c>
      <c r="AQ11" s="529"/>
      <c r="AR11" s="529"/>
      <c r="AS11" s="299"/>
    </row>
    <row r="12" spans="1:45" s="143" customFormat="1" ht="20.149999999999999" customHeight="1">
      <c r="A12" s="396" t="s">
        <v>839</v>
      </c>
      <c r="B12" s="427" t="s">
        <v>14</v>
      </c>
      <c r="C12" s="302">
        <f>(0*1/1000)</f>
        <v>0</v>
      </c>
      <c r="D12" s="302">
        <f>(0*1/1000)</f>
        <v>0</v>
      </c>
      <c r="E12" s="289">
        <f>28507*1/1000</f>
        <v>28.507000000000001</v>
      </c>
      <c r="F12" s="290">
        <f>18932*1/1000</f>
        <v>18.931999999999999</v>
      </c>
      <c r="G12" s="291">
        <f>17125*(1/1000)</f>
        <v>17.125</v>
      </c>
      <c r="H12" s="289">
        <f>16998*1/1000</f>
        <v>16.998000000000001</v>
      </c>
      <c r="I12" s="304">
        <f>0*$B$80</f>
        <v>0</v>
      </c>
      <c r="J12" s="302">
        <f t="shared" si="3"/>
        <v>0</v>
      </c>
      <c r="K12" s="306">
        <f t="shared" si="3"/>
        <v>0</v>
      </c>
      <c r="L12" s="306">
        <f t="shared" si="3"/>
        <v>0</v>
      </c>
      <c r="M12" s="307">
        <f t="shared" si="3"/>
        <v>0</v>
      </c>
      <c r="N12" s="306">
        <f t="shared" si="3"/>
        <v>0</v>
      </c>
      <c r="O12" s="294">
        <f>7658*1/1000</f>
        <v>7.6580000000000004</v>
      </c>
      <c r="P12" s="294">
        <f>7701*1/1000</f>
        <v>7.7009999999999996</v>
      </c>
      <c r="Q12" s="295">
        <f>8440*1/1000</f>
        <v>8.44</v>
      </c>
      <c r="R12" s="294">
        <f>8419*1/1000</f>
        <v>8.4190000000000005</v>
      </c>
      <c r="S12" s="294">
        <f>8398*1/1000</f>
        <v>8.3979999999999997</v>
      </c>
      <c r="T12" s="294">
        <f>8378*1/1000</f>
        <v>8.3780000000000001</v>
      </c>
      <c r="U12" s="295">
        <f>8357*1/1000</f>
        <v>8.3569999999999993</v>
      </c>
      <c r="V12" s="294">
        <f>8336*1/1000</f>
        <v>8.3360000000000003</v>
      </c>
      <c r="W12" s="294">
        <f>7788*1/1000</f>
        <v>7.7880000000000003</v>
      </c>
      <c r="X12" s="294">
        <f>7427*1/1000</f>
        <v>7.4269999999999996</v>
      </c>
      <c r="Y12" s="295">
        <f>5330*1/1000</f>
        <v>5.33</v>
      </c>
      <c r="Z12" s="294">
        <f>5315*1/1000</f>
        <v>5.3150000000000004</v>
      </c>
      <c r="AA12" s="311">
        <v>5.3</v>
      </c>
      <c r="AB12" s="311">
        <v>5.3</v>
      </c>
      <c r="AC12" s="297">
        <v>5.3</v>
      </c>
      <c r="AD12" s="298">
        <v>5.2</v>
      </c>
      <c r="AE12" s="298">
        <v>5.2</v>
      </c>
      <c r="AF12" s="311">
        <v>5.2</v>
      </c>
      <c r="AG12" s="299">
        <v>5.2</v>
      </c>
      <c r="AH12" s="300">
        <v>5.2</v>
      </c>
      <c r="AI12" s="300">
        <v>5.2</v>
      </c>
      <c r="AJ12" s="300">
        <v>5.2</v>
      </c>
      <c r="AK12" s="299">
        <v>5.0999999999999996</v>
      </c>
      <c r="AL12" s="300">
        <v>5.0999999999999996</v>
      </c>
      <c r="AM12" s="300">
        <v>5.0999999999999996</v>
      </c>
      <c r="AN12" s="300">
        <v>5.0999999999999996</v>
      </c>
      <c r="AO12" s="299">
        <v>5.0999999999999996</v>
      </c>
      <c r="AP12" s="529">
        <v>5.0999999999999996</v>
      </c>
      <c r="AQ12" s="529"/>
      <c r="AR12" s="529"/>
      <c r="AS12" s="299"/>
    </row>
    <row r="13" spans="1:45" s="143" customFormat="1" ht="20.149999999999999" customHeight="1">
      <c r="A13" s="396" t="s">
        <v>840</v>
      </c>
      <c r="B13" s="427" t="s">
        <v>820</v>
      </c>
      <c r="C13" s="312" t="s">
        <v>125</v>
      </c>
      <c r="D13" s="312" t="s">
        <v>125</v>
      </c>
      <c r="E13" s="312" t="s">
        <v>125</v>
      </c>
      <c r="F13" s="313" t="s">
        <v>125</v>
      </c>
      <c r="G13" s="314" t="s">
        <v>125</v>
      </c>
      <c r="H13" s="315" t="s">
        <v>125</v>
      </c>
      <c r="I13" s="316" t="s">
        <v>125</v>
      </c>
      <c r="J13" s="315" t="s">
        <v>125</v>
      </c>
      <c r="K13" s="317" t="s">
        <v>125</v>
      </c>
      <c r="L13" s="317" t="s">
        <v>125</v>
      </c>
      <c r="M13" s="318" t="s">
        <v>125</v>
      </c>
      <c r="N13" s="317" t="s">
        <v>125</v>
      </c>
      <c r="O13" s="317" t="s">
        <v>125</v>
      </c>
      <c r="P13" s="317" t="s">
        <v>125</v>
      </c>
      <c r="Q13" s="295">
        <f>35028*1/1000</f>
        <v>35.027999999999999</v>
      </c>
      <c r="R13" s="319" t="s">
        <v>125</v>
      </c>
      <c r="S13" s="294">
        <f>33259*1/1000</f>
        <v>33.259</v>
      </c>
      <c r="T13" s="294">
        <f>33252*1/1000</f>
        <v>33.252000000000002</v>
      </c>
      <c r="U13" s="295">
        <f>35125*1/1000</f>
        <v>35.125</v>
      </c>
      <c r="V13" s="294">
        <f>34399*1/1000</f>
        <v>34.399000000000001</v>
      </c>
      <c r="W13" s="294">
        <f>32935*1/1000</f>
        <v>32.935000000000002</v>
      </c>
      <c r="X13" s="294">
        <f>29318*1/1000</f>
        <v>29.318000000000001</v>
      </c>
      <c r="Y13" s="295">
        <f>29551*1/1000</f>
        <v>29.550999999999998</v>
      </c>
      <c r="Z13" s="294">
        <f>26502*1/1000</f>
        <v>26.501999999999999</v>
      </c>
      <c r="AA13" s="311">
        <v>46.2</v>
      </c>
      <c r="AB13" s="311">
        <v>67</v>
      </c>
      <c r="AC13" s="297">
        <v>81</v>
      </c>
      <c r="AD13" s="298">
        <v>84.1</v>
      </c>
      <c r="AE13" s="298">
        <v>82.3</v>
      </c>
      <c r="AF13" s="311">
        <v>81.2</v>
      </c>
      <c r="AG13" s="299">
        <v>83.3</v>
      </c>
      <c r="AH13" s="300">
        <v>81.099999999999994</v>
      </c>
      <c r="AI13" s="300">
        <v>79.7</v>
      </c>
      <c r="AJ13" s="300">
        <v>80.400000000000006</v>
      </c>
      <c r="AK13" s="299">
        <v>82.8</v>
      </c>
      <c r="AL13" s="300">
        <v>83.8</v>
      </c>
      <c r="AM13" s="300">
        <v>82.9</v>
      </c>
      <c r="AN13" s="300">
        <v>85.8</v>
      </c>
      <c r="AO13" s="299">
        <v>91.4</v>
      </c>
      <c r="AP13" s="529">
        <v>90.4</v>
      </c>
      <c r="AQ13" s="529"/>
      <c r="AR13" s="529"/>
      <c r="AS13" s="299"/>
    </row>
    <row r="14" spans="1:45" s="143" customFormat="1" ht="20.149999999999999" customHeight="1">
      <c r="A14" s="396" t="s">
        <v>841</v>
      </c>
      <c r="B14" s="427" t="s">
        <v>761</v>
      </c>
      <c r="C14" s="320">
        <v>0</v>
      </c>
      <c r="D14" s="320">
        <v>0</v>
      </c>
      <c r="E14" s="320">
        <v>0</v>
      </c>
      <c r="F14" s="320">
        <v>0</v>
      </c>
      <c r="G14" s="321">
        <v>0</v>
      </c>
      <c r="H14" s="320">
        <v>0</v>
      </c>
      <c r="I14" s="322">
        <v>0</v>
      </c>
      <c r="J14" s="320">
        <v>0</v>
      </c>
      <c r="K14" s="322">
        <v>0</v>
      </c>
      <c r="L14" s="322">
        <v>0</v>
      </c>
      <c r="M14" s="320">
        <v>0</v>
      </c>
      <c r="N14" s="322">
        <v>0</v>
      </c>
      <c r="O14" s="322">
        <v>0</v>
      </c>
      <c r="P14" s="322">
        <v>0</v>
      </c>
      <c r="Q14" s="299">
        <v>0</v>
      </c>
      <c r="R14" s="321">
        <v>0</v>
      </c>
      <c r="S14" s="300">
        <v>0</v>
      </c>
      <c r="T14" s="300">
        <v>0</v>
      </c>
      <c r="U14" s="299">
        <v>0</v>
      </c>
      <c r="V14" s="300">
        <v>0</v>
      </c>
      <c r="W14" s="300">
        <v>0</v>
      </c>
      <c r="X14" s="300">
        <v>0</v>
      </c>
      <c r="Y14" s="299">
        <v>0</v>
      </c>
      <c r="Z14" s="300">
        <v>0</v>
      </c>
      <c r="AA14" s="323">
        <v>0</v>
      </c>
      <c r="AB14" s="323">
        <v>0</v>
      </c>
      <c r="AC14" s="299">
        <v>0</v>
      </c>
      <c r="AD14" s="300">
        <v>0</v>
      </c>
      <c r="AE14" s="300">
        <v>0</v>
      </c>
      <c r="AF14" s="323">
        <v>0</v>
      </c>
      <c r="AG14" s="299">
        <v>0</v>
      </c>
      <c r="AH14" s="300">
        <v>180.5</v>
      </c>
      <c r="AI14" s="300">
        <v>0</v>
      </c>
      <c r="AJ14" s="300">
        <v>0</v>
      </c>
      <c r="AK14" s="299">
        <v>0</v>
      </c>
      <c r="AL14" s="300">
        <v>0</v>
      </c>
      <c r="AM14" s="300">
        <v>0</v>
      </c>
      <c r="AN14" s="300">
        <v>0</v>
      </c>
      <c r="AO14" s="299">
        <v>0</v>
      </c>
      <c r="AP14" s="529">
        <v>0</v>
      </c>
      <c r="AQ14" s="529"/>
      <c r="AR14" s="529"/>
      <c r="AS14" s="299"/>
    </row>
    <row r="15" spans="1:45" s="143" customFormat="1" ht="20.149999999999999" customHeight="1">
      <c r="A15" s="396" t="s">
        <v>842</v>
      </c>
      <c r="B15" s="427" t="s">
        <v>821</v>
      </c>
      <c r="C15" s="289">
        <f>4365*1/1000</f>
        <v>4.3650000000000002</v>
      </c>
      <c r="D15" s="289">
        <f>4280*1/1000</f>
        <v>4.28</v>
      </c>
      <c r="E15" s="289">
        <f>12877*1/1000</f>
        <v>12.877000000000001</v>
      </c>
      <c r="F15" s="290">
        <f>30956*1/1000</f>
        <v>30.956</v>
      </c>
      <c r="G15" s="291">
        <f>23254*(1/1000)</f>
        <v>23.254000000000001</v>
      </c>
      <c r="H15" s="289">
        <f>24264*1/1000</f>
        <v>24.263999999999999</v>
      </c>
      <c r="I15" s="292">
        <f>19356*(1/1000)</f>
        <v>19.356000000000002</v>
      </c>
      <c r="J15" s="289">
        <f>55870*1/1000</f>
        <v>55.87</v>
      </c>
      <c r="K15" s="293">
        <f>30317*1/1000</f>
        <v>30.317</v>
      </c>
      <c r="L15" s="294">
        <f>35367*1/1000</f>
        <v>35.366999999999997</v>
      </c>
      <c r="M15" s="295">
        <f>37544*1/1000</f>
        <v>37.543999999999997</v>
      </c>
      <c r="N15" s="294">
        <f>35135*1/1000</f>
        <v>35.134999999999998</v>
      </c>
      <c r="O15" s="294">
        <f>46322*1/1000</f>
        <v>46.322000000000003</v>
      </c>
      <c r="P15" s="294">
        <f>53686*1/1000</f>
        <v>53.686</v>
      </c>
      <c r="Q15" s="295">
        <f>69447*1/1000</f>
        <v>69.447000000000003</v>
      </c>
      <c r="R15" s="294">
        <f>92159*1/1000</f>
        <v>92.159000000000006</v>
      </c>
      <c r="S15" s="294">
        <f>84770*1/1000</f>
        <v>84.77</v>
      </c>
      <c r="T15" s="294">
        <f>116704*1/1000</f>
        <v>116.70399999999999</v>
      </c>
      <c r="U15" s="295">
        <f>109642*1/1000</f>
        <v>109.642</v>
      </c>
      <c r="V15" s="294">
        <f>62960*1/1000</f>
        <v>62.96</v>
      </c>
      <c r="W15" s="294">
        <f>61422*1/1000</f>
        <v>61.421999999999997</v>
      </c>
      <c r="X15" s="294">
        <f>27107*1/1000</f>
        <v>27.106999999999999</v>
      </c>
      <c r="Y15" s="295">
        <f>20803*1/1000</f>
        <v>20.803000000000001</v>
      </c>
      <c r="Z15" s="294">
        <f>6430*1/1000</f>
        <v>6.43</v>
      </c>
      <c r="AA15" s="311">
        <v>107.4</v>
      </c>
      <c r="AB15" s="311">
        <v>141.4</v>
      </c>
      <c r="AC15" s="297">
        <v>198.5</v>
      </c>
      <c r="AD15" s="298">
        <v>238</v>
      </c>
      <c r="AE15" s="298">
        <v>232.8</v>
      </c>
      <c r="AF15" s="311">
        <v>232.7</v>
      </c>
      <c r="AG15" s="299">
        <v>272.8</v>
      </c>
      <c r="AH15" s="300">
        <v>295.39999999999998</v>
      </c>
      <c r="AI15" s="300">
        <v>331.8</v>
      </c>
      <c r="AJ15" s="300">
        <v>373.3</v>
      </c>
      <c r="AK15" s="299">
        <v>452</v>
      </c>
      <c r="AL15" s="300">
        <v>476.3</v>
      </c>
      <c r="AM15" s="300">
        <v>508.1</v>
      </c>
      <c r="AN15" s="300">
        <v>544.20000000000005</v>
      </c>
      <c r="AO15" s="299">
        <v>1270.7</v>
      </c>
      <c r="AP15" s="529">
        <v>1280.5999999999999</v>
      </c>
      <c r="AQ15" s="529"/>
      <c r="AR15" s="529"/>
      <c r="AS15" s="299"/>
    </row>
    <row r="16" spans="1:45" s="143" customFormat="1" ht="26">
      <c r="A16" s="324" t="s">
        <v>1032</v>
      </c>
      <c r="B16" s="515" t="s">
        <v>1033</v>
      </c>
      <c r="C16" s="289"/>
      <c r="D16" s="289"/>
      <c r="E16" s="289"/>
      <c r="F16" s="290"/>
      <c r="G16" s="291"/>
      <c r="H16" s="289"/>
      <c r="I16" s="292"/>
      <c r="J16" s="289"/>
      <c r="K16" s="293"/>
      <c r="L16" s="294"/>
      <c r="M16" s="295"/>
      <c r="N16" s="294"/>
      <c r="O16" s="294"/>
      <c r="P16" s="294"/>
      <c r="Q16" s="295"/>
      <c r="R16" s="294"/>
      <c r="S16" s="294"/>
      <c r="T16" s="294"/>
      <c r="U16" s="295"/>
      <c r="V16" s="294"/>
      <c r="W16" s="294"/>
      <c r="X16" s="294"/>
      <c r="Y16" s="295"/>
      <c r="Z16" s="294"/>
      <c r="AA16" s="311"/>
      <c r="AB16" s="311"/>
      <c r="AC16" s="297"/>
      <c r="AD16" s="298"/>
      <c r="AE16" s="298"/>
      <c r="AF16" s="311"/>
      <c r="AG16" s="299"/>
      <c r="AH16" s="300"/>
      <c r="AI16" s="300"/>
      <c r="AJ16" s="300"/>
      <c r="AK16" s="299">
        <v>0</v>
      </c>
      <c r="AL16" s="300"/>
      <c r="AM16" s="300"/>
      <c r="AN16" s="300"/>
      <c r="AO16" s="330">
        <v>665.2</v>
      </c>
      <c r="AP16" s="529">
        <v>681.2</v>
      </c>
      <c r="AQ16" s="531"/>
      <c r="AR16" s="531"/>
      <c r="AS16" s="330"/>
    </row>
    <row r="17" spans="1:45" s="334" customFormat="1" ht="20.149999999999999" customHeight="1">
      <c r="A17" s="397" t="s">
        <v>843</v>
      </c>
      <c r="B17" s="324" t="s">
        <v>739</v>
      </c>
      <c r="C17" s="325">
        <v>0</v>
      </c>
      <c r="D17" s="325">
        <v>0</v>
      </c>
      <c r="E17" s="325">
        <v>0</v>
      </c>
      <c r="F17" s="326">
        <v>0</v>
      </c>
      <c r="G17" s="327">
        <v>0</v>
      </c>
      <c r="H17" s="325">
        <v>0</v>
      </c>
      <c r="I17" s="328">
        <v>0</v>
      </c>
      <c r="J17" s="325">
        <v>0</v>
      </c>
      <c r="K17" s="328">
        <v>0</v>
      </c>
      <c r="L17" s="329">
        <v>0</v>
      </c>
      <c r="M17" s="330">
        <v>0</v>
      </c>
      <c r="N17" s="329">
        <v>0</v>
      </c>
      <c r="O17" s="329">
        <v>0</v>
      </c>
      <c r="P17" s="329">
        <v>0</v>
      </c>
      <c r="Q17" s="330">
        <v>0</v>
      </c>
      <c r="R17" s="329">
        <v>0</v>
      </c>
      <c r="S17" s="329">
        <v>0</v>
      </c>
      <c r="T17" s="329">
        <v>0</v>
      </c>
      <c r="U17" s="330">
        <v>0</v>
      </c>
      <c r="V17" s="329">
        <v>0</v>
      </c>
      <c r="W17" s="329">
        <v>0</v>
      </c>
      <c r="X17" s="329">
        <v>0</v>
      </c>
      <c r="Y17" s="330">
        <v>0</v>
      </c>
      <c r="Z17" s="329">
        <v>0</v>
      </c>
      <c r="AA17" s="331">
        <v>0</v>
      </c>
      <c r="AB17" s="331">
        <v>0</v>
      </c>
      <c r="AC17" s="332">
        <v>1.2</v>
      </c>
      <c r="AD17" s="333">
        <v>0</v>
      </c>
      <c r="AE17" s="333">
        <v>0</v>
      </c>
      <c r="AF17" s="333">
        <v>0</v>
      </c>
      <c r="AG17" s="330">
        <v>6.9</v>
      </c>
      <c r="AH17" s="329">
        <v>0.6</v>
      </c>
      <c r="AI17" s="329">
        <v>0</v>
      </c>
      <c r="AJ17" s="329">
        <v>3.5</v>
      </c>
      <c r="AK17" s="330">
        <v>9.5</v>
      </c>
      <c r="AL17" s="329">
        <v>7.8</v>
      </c>
      <c r="AM17" s="329">
        <v>4.9000000000000004</v>
      </c>
      <c r="AN17" s="329">
        <v>2.5</v>
      </c>
      <c r="AO17" s="330">
        <v>1.9</v>
      </c>
      <c r="AP17" s="529">
        <v>0.1</v>
      </c>
      <c r="AQ17" s="532"/>
      <c r="AR17" s="532"/>
      <c r="AS17" s="330"/>
    </row>
    <row r="18" spans="1:45" s="143" customFormat="1" ht="20.149999999999999" customHeight="1" thickBot="1">
      <c r="A18" s="396" t="s">
        <v>844</v>
      </c>
      <c r="B18" s="427" t="s">
        <v>15</v>
      </c>
      <c r="C18" s="289">
        <f>24710*1/1000</f>
        <v>24.71</v>
      </c>
      <c r="D18" s="289">
        <f>18579*1/1000</f>
        <v>18.579000000000001</v>
      </c>
      <c r="E18" s="289">
        <f>3520*1/1000</f>
        <v>3.52</v>
      </c>
      <c r="F18" s="290">
        <f>4134*1/1000</f>
        <v>4.1340000000000003</v>
      </c>
      <c r="G18" s="291">
        <f>(899*1/1000)</f>
        <v>0.89900000000000002</v>
      </c>
      <c r="H18" s="289">
        <f>1223*1/1000</f>
        <v>1.2230000000000001</v>
      </c>
      <c r="I18" s="292">
        <f>1762*(1/1000)</f>
        <v>1.762</v>
      </c>
      <c r="J18" s="289">
        <f>2190*1/1000</f>
        <v>2.19</v>
      </c>
      <c r="K18" s="293">
        <f>3312*1/1000</f>
        <v>3.3119999999999998</v>
      </c>
      <c r="L18" s="294">
        <f>5185*1/1000</f>
        <v>5.1849999999999996</v>
      </c>
      <c r="M18" s="295">
        <f>4158*1/1000</f>
        <v>4.1580000000000004</v>
      </c>
      <c r="N18" s="294">
        <f>5063*1/1000</f>
        <v>5.0629999999999997</v>
      </c>
      <c r="O18" s="294">
        <f>22612*1/1000</f>
        <v>22.611999999999998</v>
      </c>
      <c r="P18" s="294">
        <f>15663*1/1000</f>
        <v>15.663</v>
      </c>
      <c r="Q18" s="295">
        <f>55726*1/1000</f>
        <v>55.725999999999999</v>
      </c>
      <c r="R18" s="294">
        <f>30500*1/1000</f>
        <v>30.5</v>
      </c>
      <c r="S18" s="294">
        <f>40245*1/1000</f>
        <v>40.244999999999997</v>
      </c>
      <c r="T18" s="294">
        <f>37018*1/1000</f>
        <v>37.018000000000001</v>
      </c>
      <c r="U18" s="295">
        <f>31356*1/1000</f>
        <v>31.356000000000002</v>
      </c>
      <c r="V18" s="294">
        <f>30260*1/1000</f>
        <v>30.26</v>
      </c>
      <c r="W18" s="294">
        <f>27326*1/1000</f>
        <v>27.326000000000001</v>
      </c>
      <c r="X18" s="294">
        <f>27552*1/1000</f>
        <v>27.552</v>
      </c>
      <c r="Y18" s="295">
        <f>38854*1/1000</f>
        <v>38.853999999999999</v>
      </c>
      <c r="Z18" s="294">
        <f>34685*1/1000</f>
        <v>34.685000000000002</v>
      </c>
      <c r="AA18" s="311">
        <v>240.5</v>
      </c>
      <c r="AB18" s="311">
        <v>285.7</v>
      </c>
      <c r="AC18" s="297">
        <v>281.10000000000002</v>
      </c>
      <c r="AD18" s="298">
        <v>229</v>
      </c>
      <c r="AE18" s="298">
        <v>260.89999999999998</v>
      </c>
      <c r="AF18" s="311">
        <v>107.2</v>
      </c>
      <c r="AG18" s="299">
        <v>87.6</v>
      </c>
      <c r="AH18" s="300">
        <v>211.3</v>
      </c>
      <c r="AI18" s="300">
        <v>236.5</v>
      </c>
      <c r="AJ18" s="300">
        <v>238.4</v>
      </c>
      <c r="AK18" s="299">
        <v>232.7</v>
      </c>
      <c r="AL18" s="300">
        <v>249.3</v>
      </c>
      <c r="AM18" s="300">
        <v>199.9</v>
      </c>
      <c r="AN18" s="300">
        <v>192.1</v>
      </c>
      <c r="AO18" s="299">
        <v>197.2</v>
      </c>
      <c r="AP18" s="529">
        <v>178.4</v>
      </c>
      <c r="AQ18" s="533"/>
      <c r="AR18" s="533"/>
      <c r="AS18" s="299"/>
    </row>
    <row r="19" spans="1:45" s="287" customFormat="1" ht="20.149999999999999" customHeight="1" thickBot="1">
      <c r="A19" s="399" t="s">
        <v>845</v>
      </c>
      <c r="B19" s="210" t="s">
        <v>17</v>
      </c>
      <c r="C19" s="358">
        <f>SUM(C5:C18)</f>
        <v>153.14300000000003</v>
      </c>
      <c r="D19" s="358">
        <f>SUM(D5:D18)</f>
        <v>87.966000000000008</v>
      </c>
      <c r="E19" s="358">
        <f>SUM(E5:E18)</f>
        <v>103.009</v>
      </c>
      <c r="F19" s="358">
        <f>SUM(F5:F18)</f>
        <v>163.36199999999997</v>
      </c>
      <c r="G19" s="359">
        <f t="shared" ref="G19:H19" si="4">SUM(G5:G18)</f>
        <v>162.60599999999999</v>
      </c>
      <c r="H19" s="358">
        <f t="shared" si="4"/>
        <v>201.11600000000001</v>
      </c>
      <c r="I19" s="359">
        <f t="shared" ref="I19" si="5">SUM(I5:I18)</f>
        <v>223.12099999999998</v>
      </c>
      <c r="J19" s="358">
        <f t="shared" ref="J19:K19" si="6">SUM(J5:J18)</f>
        <v>340.91</v>
      </c>
      <c r="K19" s="360">
        <f t="shared" si="6"/>
        <v>446.52600000000007</v>
      </c>
      <c r="L19" s="360">
        <f t="shared" ref="L19:Y19" si="7">(SUM(L5:L18))</f>
        <v>483.25</v>
      </c>
      <c r="M19" s="361">
        <f t="shared" si="7"/>
        <v>545.22400000000005</v>
      </c>
      <c r="N19" s="360">
        <f t="shared" si="7"/>
        <v>586.54700000000003</v>
      </c>
      <c r="O19" s="360">
        <f t="shared" si="7"/>
        <v>4123.1669999999995</v>
      </c>
      <c r="P19" s="360">
        <f t="shared" si="7"/>
        <v>4157.5929999999998</v>
      </c>
      <c r="Q19" s="361">
        <f t="shared" si="7"/>
        <v>4278.1479999999992</v>
      </c>
      <c r="R19" s="360">
        <f t="shared" si="7"/>
        <v>4228.9560000000001</v>
      </c>
      <c r="S19" s="360">
        <f t="shared" si="7"/>
        <v>4425.1450000000004</v>
      </c>
      <c r="T19" s="360">
        <f t="shared" si="7"/>
        <v>4456.701</v>
      </c>
      <c r="U19" s="361">
        <f t="shared" si="7"/>
        <v>4476.1480000000001</v>
      </c>
      <c r="V19" s="360">
        <f t="shared" si="7"/>
        <v>4424.8490000000011</v>
      </c>
      <c r="W19" s="360">
        <f t="shared" si="7"/>
        <v>4428.5439999999999</v>
      </c>
      <c r="X19" s="360">
        <f t="shared" si="7"/>
        <v>4436.0960000000005</v>
      </c>
      <c r="Y19" s="361">
        <f t="shared" si="7"/>
        <v>4455.8450000000003</v>
      </c>
      <c r="Z19" s="360">
        <f>(SUM(Z5:Z18))</f>
        <v>4454.3520000000008</v>
      </c>
      <c r="AA19" s="362">
        <f t="shared" ref="AA19:AB19" si="8">SUM(AA5:AA18)</f>
        <v>23391.8</v>
      </c>
      <c r="AB19" s="362">
        <f t="shared" si="8"/>
        <v>23581.399999999998</v>
      </c>
      <c r="AC19" s="363">
        <f t="shared" ref="AC19:AH19" si="9">(SUM(AC5:AC18))-AC17</f>
        <v>23356.1</v>
      </c>
      <c r="AD19" s="364">
        <f t="shared" si="9"/>
        <v>23132</v>
      </c>
      <c r="AE19" s="364">
        <f t="shared" si="9"/>
        <v>22867.599999999999</v>
      </c>
      <c r="AF19" s="364">
        <f t="shared" si="9"/>
        <v>22396.3</v>
      </c>
      <c r="AG19" s="365">
        <f t="shared" si="9"/>
        <v>22261.199999999997</v>
      </c>
      <c r="AH19" s="366">
        <f t="shared" si="9"/>
        <v>24489.499999999996</v>
      </c>
      <c r="AI19" s="366">
        <f t="shared" ref="AI19:AJ19" si="10">(SUM(AI5:AI18))-AI17</f>
        <v>24377.8</v>
      </c>
      <c r="AJ19" s="366">
        <f t="shared" si="10"/>
        <v>24047.600000000002</v>
      </c>
      <c r="AK19" s="365">
        <f>(SUM(AK5:AK18))-AK17</f>
        <v>23958.899999999998</v>
      </c>
      <c r="AL19" s="366">
        <f t="shared" ref="AL19:AN19" si="11">(SUM(AL5:AL18))-AL17</f>
        <v>23642.099999999995</v>
      </c>
      <c r="AM19" s="366">
        <f t="shared" si="11"/>
        <v>23454.6</v>
      </c>
      <c r="AN19" s="366">
        <f t="shared" si="11"/>
        <v>23215.999999999996</v>
      </c>
      <c r="AO19" s="365">
        <f>(SUM(AO5:AO18))-AO17-AO16</f>
        <v>23824.5</v>
      </c>
      <c r="AP19" s="534">
        <f>SUM(AP5:AP15,AP18)</f>
        <v>23530.6</v>
      </c>
      <c r="AQ19" s="534">
        <f t="shared" ref="AQ19:AR19" si="12">(SUM(AQ5:AQ18))-AQ17</f>
        <v>0</v>
      </c>
      <c r="AR19" s="534">
        <f t="shared" si="12"/>
        <v>0</v>
      </c>
      <c r="AS19" s="365">
        <f>(SUM(AS5:AS18))-AS17-AS16</f>
        <v>0</v>
      </c>
    </row>
    <row r="20" spans="1:45" s="287" customFormat="1" ht="20.149999999999999" customHeight="1">
      <c r="A20" s="396" t="s">
        <v>846</v>
      </c>
      <c r="B20" s="427" t="s">
        <v>99</v>
      </c>
      <c r="C20" s="302">
        <f>0*1/1000</f>
        <v>0</v>
      </c>
      <c r="D20" s="302">
        <f>(0*1/1000)*1/1000</f>
        <v>0</v>
      </c>
      <c r="E20" s="302">
        <f>0*1/1000</f>
        <v>0</v>
      </c>
      <c r="F20" s="302">
        <f>0*1/1000</f>
        <v>0</v>
      </c>
      <c r="G20" s="304">
        <f>(0*1/1000)</f>
        <v>0</v>
      </c>
      <c r="H20" s="302">
        <f>0*1/1000</f>
        <v>0</v>
      </c>
      <c r="I20" s="304">
        <f>0*$B$80</f>
        <v>0</v>
      </c>
      <c r="J20" s="302">
        <f>0*1/1000</f>
        <v>0</v>
      </c>
      <c r="K20" s="306">
        <f>0*1/1000</f>
        <v>0</v>
      </c>
      <c r="L20" s="306">
        <f>0*1/1000</f>
        <v>0</v>
      </c>
      <c r="M20" s="307">
        <f>0*1/1000</f>
        <v>0</v>
      </c>
      <c r="N20" s="306">
        <f>0*1/1000</f>
        <v>0</v>
      </c>
      <c r="O20" s="294">
        <f>172701*1/1000</f>
        <v>172.70099999999999</v>
      </c>
      <c r="P20" s="294">
        <f>195354*1/1000</f>
        <v>195.35400000000001</v>
      </c>
      <c r="Q20" s="295">
        <f>137429*1/1000</f>
        <v>137.429</v>
      </c>
      <c r="R20" s="294">
        <f>176114*1/1000</f>
        <v>176.114</v>
      </c>
      <c r="S20" s="294">
        <f>167251*1/1000</f>
        <v>167.251</v>
      </c>
      <c r="T20" s="294">
        <f>171461*1/1000</f>
        <v>171.46100000000001</v>
      </c>
      <c r="U20" s="295">
        <f>141652*1/1000</f>
        <v>141.65199999999999</v>
      </c>
      <c r="V20" s="294">
        <f>155399*1/1000</f>
        <v>155.399</v>
      </c>
      <c r="W20" s="294">
        <f>170743*1/1000</f>
        <v>170.74299999999999</v>
      </c>
      <c r="X20" s="294">
        <f>208533*1/1000</f>
        <v>208.53299999999999</v>
      </c>
      <c r="Y20" s="295">
        <f>181341*1/1000</f>
        <v>181.34100000000001</v>
      </c>
      <c r="Z20" s="294">
        <f>228936*1/1000</f>
        <v>228.93600000000001</v>
      </c>
      <c r="AA20" s="311">
        <v>199.1</v>
      </c>
      <c r="AB20" s="311">
        <v>172.6</v>
      </c>
      <c r="AC20" s="297">
        <v>152.1</v>
      </c>
      <c r="AD20" s="298">
        <v>163.1</v>
      </c>
      <c r="AE20" s="298">
        <v>170.4</v>
      </c>
      <c r="AF20" s="311">
        <v>255.6</v>
      </c>
      <c r="AG20" s="299">
        <v>192.2</v>
      </c>
      <c r="AH20" s="300">
        <v>234.7</v>
      </c>
      <c r="AI20" s="300">
        <v>163.5</v>
      </c>
      <c r="AJ20" s="300">
        <v>219.1</v>
      </c>
      <c r="AK20" s="299">
        <v>192</v>
      </c>
      <c r="AL20" s="300">
        <v>179.8</v>
      </c>
      <c r="AM20" s="300">
        <v>214.3</v>
      </c>
      <c r="AN20" s="300">
        <v>243.6</v>
      </c>
      <c r="AO20" s="299">
        <v>251.7</v>
      </c>
      <c r="AP20" s="535">
        <v>256.60000000000002</v>
      </c>
      <c r="AQ20" s="535"/>
      <c r="AR20" s="535"/>
      <c r="AS20" s="299"/>
    </row>
    <row r="21" spans="1:45" s="287" customFormat="1" ht="20.149999999999999" customHeight="1">
      <c r="A21" s="540" t="s">
        <v>1054</v>
      </c>
      <c r="B21" s="541" t="s">
        <v>1055</v>
      </c>
      <c r="C21" s="302"/>
      <c r="D21" s="302"/>
      <c r="E21" s="302"/>
      <c r="F21" s="302"/>
      <c r="G21" s="304"/>
      <c r="H21" s="302"/>
      <c r="I21" s="304"/>
      <c r="J21" s="302"/>
      <c r="K21" s="306"/>
      <c r="L21" s="306"/>
      <c r="M21" s="307"/>
      <c r="N21" s="306"/>
      <c r="O21" s="294"/>
      <c r="P21" s="294"/>
      <c r="Q21" s="295"/>
      <c r="R21" s="294"/>
      <c r="S21" s="294"/>
      <c r="T21" s="294"/>
      <c r="U21" s="295"/>
      <c r="V21" s="294"/>
      <c r="W21" s="294"/>
      <c r="X21" s="294"/>
      <c r="Y21" s="295"/>
      <c r="Z21" s="294"/>
      <c r="AA21" s="311"/>
      <c r="AB21" s="311"/>
      <c r="AC21" s="297"/>
      <c r="AD21" s="298"/>
      <c r="AE21" s="298"/>
      <c r="AF21" s="311"/>
      <c r="AG21" s="299"/>
      <c r="AH21" s="300"/>
      <c r="AI21" s="300"/>
      <c r="AJ21" s="300"/>
      <c r="AK21" s="299"/>
      <c r="AL21" s="300"/>
      <c r="AM21" s="300"/>
      <c r="AN21" s="300"/>
      <c r="AO21" s="299"/>
      <c r="AP21" s="529">
        <v>680.8</v>
      </c>
      <c r="AQ21" s="529"/>
      <c r="AR21" s="529"/>
      <c r="AS21" s="299"/>
    </row>
    <row r="22" spans="1:45" s="143" customFormat="1" ht="20.149999999999999" customHeight="1">
      <c r="A22" s="396" t="s">
        <v>847</v>
      </c>
      <c r="B22" s="427" t="s">
        <v>18</v>
      </c>
      <c r="C22" s="289">
        <f>21377*1/1000</f>
        <v>21.376999999999999</v>
      </c>
      <c r="D22" s="289">
        <f>30388*1/1000</f>
        <v>30.388000000000002</v>
      </c>
      <c r="E22" s="335">
        <f>58009*1/1000</f>
        <v>58.009</v>
      </c>
      <c r="F22" s="290">
        <f>130009*1/1000</f>
        <v>130.00899999999999</v>
      </c>
      <c r="G22" s="291">
        <f>147115*(1/1000)</f>
        <v>147.11500000000001</v>
      </c>
      <c r="H22" s="289">
        <f>94999*1/1000</f>
        <v>94.998999999999995</v>
      </c>
      <c r="I22" s="292">
        <f>167337*1/1000</f>
        <v>167.33699999999999</v>
      </c>
      <c r="J22" s="289">
        <f>122091*1/1000</f>
        <v>122.09099999999999</v>
      </c>
      <c r="K22" s="293">
        <f>142012*1/1000</f>
        <v>142.012</v>
      </c>
      <c r="L22" s="294">
        <f>167255*1/1000</f>
        <v>167.255</v>
      </c>
      <c r="M22" s="295">
        <f>173154*1/1000</f>
        <v>173.154</v>
      </c>
      <c r="N22" s="294">
        <f>155959*1/1000</f>
        <v>155.959</v>
      </c>
      <c r="O22" s="294">
        <f>159831*1/1000</f>
        <v>159.83099999999999</v>
      </c>
      <c r="P22" s="294">
        <f>167258*1/1000</f>
        <v>167.25800000000001</v>
      </c>
      <c r="Q22" s="295">
        <f>178127*1/1000</f>
        <v>178.12700000000001</v>
      </c>
      <c r="R22" s="294">
        <f>185376*1/1000</f>
        <v>185.376</v>
      </c>
      <c r="S22" s="294">
        <f>185528*1/1000</f>
        <v>185.52799999999999</v>
      </c>
      <c r="T22" s="294">
        <f>177054*1/1000</f>
        <v>177.054</v>
      </c>
      <c r="U22" s="295">
        <f>161974*1/1000</f>
        <v>161.97399999999999</v>
      </c>
      <c r="V22" s="294">
        <f>150701*1/1000</f>
        <v>150.70099999999999</v>
      </c>
      <c r="W22" s="294">
        <f>157445*1/1000</f>
        <v>157.44499999999999</v>
      </c>
      <c r="X22" s="294">
        <f>155698*1/1000</f>
        <v>155.69800000000001</v>
      </c>
      <c r="Y22" s="295">
        <f>146771*1/1000</f>
        <v>146.77099999999999</v>
      </c>
      <c r="Z22" s="294">
        <f>163072*1/1000</f>
        <v>163.072</v>
      </c>
      <c r="AA22" s="301">
        <v>343.8</v>
      </c>
      <c r="AB22" s="301">
        <v>316.60000000000002</v>
      </c>
      <c r="AC22" s="297">
        <v>301.39999999999998</v>
      </c>
      <c r="AD22" s="298">
        <v>252.9</v>
      </c>
      <c r="AE22" s="298">
        <v>261.7</v>
      </c>
      <c r="AF22" s="301">
        <v>264.10000000000002</v>
      </c>
      <c r="AG22" s="299">
        <v>281</v>
      </c>
      <c r="AH22" s="300">
        <v>260.2</v>
      </c>
      <c r="AI22" s="300">
        <v>270</v>
      </c>
      <c r="AJ22" s="300">
        <v>281</v>
      </c>
      <c r="AK22" s="299">
        <v>278.7</v>
      </c>
      <c r="AL22" s="300">
        <v>237.2</v>
      </c>
      <c r="AM22" s="300">
        <v>279</v>
      </c>
      <c r="AN22" s="300">
        <v>295.60000000000002</v>
      </c>
      <c r="AO22" s="299">
        <v>283.7</v>
      </c>
      <c r="AP22" s="530">
        <v>305.3</v>
      </c>
      <c r="AQ22" s="529"/>
      <c r="AR22" s="529"/>
      <c r="AS22" s="299"/>
    </row>
    <row r="23" spans="1:45" s="143" customFormat="1" ht="20.149999999999999" customHeight="1">
      <c r="A23" s="396" t="s">
        <v>848</v>
      </c>
      <c r="B23" s="427" t="s">
        <v>122</v>
      </c>
      <c r="C23" s="302">
        <f>0*1/1000</f>
        <v>0</v>
      </c>
      <c r="D23" s="336">
        <f>(0*1/1000)</f>
        <v>0</v>
      </c>
      <c r="E23" s="302">
        <f>0*1/1000</f>
        <v>0</v>
      </c>
      <c r="F23" s="302">
        <f>0*1/1000</f>
        <v>0</v>
      </c>
      <c r="G23" s="304">
        <f>(0*1/1000)</f>
        <v>0</v>
      </c>
      <c r="H23" s="302">
        <f>0*1/1000</f>
        <v>0</v>
      </c>
      <c r="I23" s="304">
        <f>0*$B$80</f>
        <v>0</v>
      </c>
      <c r="J23" s="302">
        <f t="shared" ref="J23:Q23" si="13">0*1/1000</f>
        <v>0</v>
      </c>
      <c r="K23" s="306">
        <f t="shared" si="13"/>
        <v>0</v>
      </c>
      <c r="L23" s="306">
        <f t="shared" si="13"/>
        <v>0</v>
      </c>
      <c r="M23" s="307">
        <f t="shared" si="13"/>
        <v>0</v>
      </c>
      <c r="N23" s="306">
        <f t="shared" si="13"/>
        <v>0</v>
      </c>
      <c r="O23" s="306">
        <f t="shared" si="13"/>
        <v>0</v>
      </c>
      <c r="P23" s="306">
        <f t="shared" si="13"/>
        <v>0</v>
      </c>
      <c r="Q23" s="307">
        <f t="shared" si="13"/>
        <v>0</v>
      </c>
      <c r="R23" s="294">
        <f>1102*1/1000</f>
        <v>1.1020000000000001</v>
      </c>
      <c r="S23" s="306">
        <f t="shared" ref="S23:Z24" si="14">0*1/1000</f>
        <v>0</v>
      </c>
      <c r="T23" s="306">
        <f t="shared" si="14"/>
        <v>0</v>
      </c>
      <c r="U23" s="307">
        <f t="shared" si="14"/>
        <v>0</v>
      </c>
      <c r="V23" s="306">
        <f t="shared" si="14"/>
        <v>0</v>
      </c>
      <c r="W23" s="306">
        <f t="shared" si="14"/>
        <v>0</v>
      </c>
      <c r="X23" s="306">
        <f t="shared" si="14"/>
        <v>0</v>
      </c>
      <c r="Y23" s="307">
        <f t="shared" si="14"/>
        <v>0</v>
      </c>
      <c r="Z23" s="306">
        <f t="shared" si="14"/>
        <v>0</v>
      </c>
      <c r="AA23" s="304">
        <v>0</v>
      </c>
      <c r="AB23" s="304">
        <v>0</v>
      </c>
      <c r="AC23" s="307">
        <f>0*1/1000</f>
        <v>0</v>
      </c>
      <c r="AD23" s="306">
        <f>0*1/1000</f>
        <v>0</v>
      </c>
      <c r="AE23" s="306">
        <v>0</v>
      </c>
      <c r="AF23" s="304">
        <v>0</v>
      </c>
      <c r="AG23" s="299">
        <v>0</v>
      </c>
      <c r="AH23" s="322">
        <v>0</v>
      </c>
      <c r="AI23" s="322">
        <v>0</v>
      </c>
      <c r="AJ23" s="322">
        <v>0</v>
      </c>
      <c r="AK23" s="299">
        <v>0</v>
      </c>
      <c r="AL23" s="322">
        <v>0</v>
      </c>
      <c r="AM23" s="322">
        <v>0</v>
      </c>
      <c r="AN23" s="322">
        <v>0</v>
      </c>
      <c r="AO23" s="299">
        <v>0</v>
      </c>
      <c r="AP23" s="529">
        <v>0</v>
      </c>
      <c r="AQ23" s="529"/>
      <c r="AR23" s="529"/>
      <c r="AS23" s="299"/>
    </row>
    <row r="24" spans="1:45" s="143" customFormat="1" ht="20.149999999999999" customHeight="1">
      <c r="A24" s="396" t="s">
        <v>849</v>
      </c>
      <c r="B24" s="427" t="s">
        <v>114</v>
      </c>
      <c r="C24" s="302">
        <f>0*1/1000</f>
        <v>0</v>
      </c>
      <c r="D24" s="336">
        <f>(0*1/1000)</f>
        <v>0</v>
      </c>
      <c r="E24" s="302">
        <f>0*1/1000</f>
        <v>0</v>
      </c>
      <c r="F24" s="302">
        <f>0*1/1000</f>
        <v>0</v>
      </c>
      <c r="G24" s="304">
        <f>(0*1/1000)</f>
        <v>0</v>
      </c>
      <c r="H24" s="302">
        <f>0*1/1000</f>
        <v>0</v>
      </c>
      <c r="I24" s="304">
        <f>0*$B$80</f>
        <v>0</v>
      </c>
      <c r="J24" s="302">
        <f t="shared" ref="J24:P24" si="15">0*1/1000</f>
        <v>0</v>
      </c>
      <c r="K24" s="306">
        <f t="shared" si="15"/>
        <v>0</v>
      </c>
      <c r="L24" s="306">
        <f t="shared" si="15"/>
        <v>0</v>
      </c>
      <c r="M24" s="307">
        <f t="shared" si="15"/>
        <v>0</v>
      </c>
      <c r="N24" s="306">
        <f t="shared" si="15"/>
        <v>0</v>
      </c>
      <c r="O24" s="306">
        <f t="shared" si="15"/>
        <v>0</v>
      </c>
      <c r="P24" s="306">
        <f t="shared" si="15"/>
        <v>0</v>
      </c>
      <c r="Q24" s="295">
        <f>14854*1/1000</f>
        <v>14.853999999999999</v>
      </c>
      <c r="R24" s="306">
        <f>0*1/1000</f>
        <v>0</v>
      </c>
      <c r="S24" s="306">
        <f t="shared" si="14"/>
        <v>0</v>
      </c>
      <c r="T24" s="306">
        <f t="shared" si="14"/>
        <v>0</v>
      </c>
      <c r="U24" s="307">
        <f t="shared" si="14"/>
        <v>0</v>
      </c>
      <c r="V24" s="306">
        <f t="shared" si="14"/>
        <v>0</v>
      </c>
      <c r="W24" s="306">
        <f t="shared" si="14"/>
        <v>0</v>
      </c>
      <c r="X24" s="306">
        <f t="shared" si="14"/>
        <v>0</v>
      </c>
      <c r="Y24" s="307">
        <f t="shared" si="14"/>
        <v>0</v>
      </c>
      <c r="Z24" s="306">
        <f t="shared" si="14"/>
        <v>0</v>
      </c>
      <c r="AA24" s="304">
        <v>0</v>
      </c>
      <c r="AB24" s="304">
        <v>0</v>
      </c>
      <c r="AC24" s="307">
        <f>0*1/1000</f>
        <v>0</v>
      </c>
      <c r="AD24" s="306">
        <f>0*1/1000</f>
        <v>0</v>
      </c>
      <c r="AE24" s="306">
        <v>0</v>
      </c>
      <c r="AF24" s="304">
        <v>0</v>
      </c>
      <c r="AG24" s="299">
        <v>0</v>
      </c>
      <c r="AH24" s="322">
        <v>0</v>
      </c>
      <c r="AI24" s="322">
        <v>0</v>
      </c>
      <c r="AJ24" s="322">
        <v>0</v>
      </c>
      <c r="AK24" s="299">
        <v>0</v>
      </c>
      <c r="AL24" s="322">
        <v>0</v>
      </c>
      <c r="AM24" s="322">
        <v>0</v>
      </c>
      <c r="AN24" s="322">
        <v>0</v>
      </c>
      <c r="AO24" s="299">
        <v>0</v>
      </c>
      <c r="AP24" s="529">
        <v>0</v>
      </c>
      <c r="AQ24" s="530"/>
      <c r="AR24" s="530"/>
      <c r="AS24" s="299"/>
    </row>
    <row r="25" spans="1:45" s="143" customFormat="1" ht="20.149999999999999" customHeight="1">
      <c r="A25" s="396" t="s">
        <v>850</v>
      </c>
      <c r="B25" s="427" t="s">
        <v>822</v>
      </c>
      <c r="C25" s="289">
        <f>55225*1/1000</f>
        <v>55.225000000000001</v>
      </c>
      <c r="D25" s="289">
        <f>34163*1/1000</f>
        <v>34.162999999999997</v>
      </c>
      <c r="E25" s="335">
        <f>43299*1/1000</f>
        <v>43.298999999999999</v>
      </c>
      <c r="F25" s="290">
        <f>79133*1/1000</f>
        <v>79.132999999999996</v>
      </c>
      <c r="G25" s="291">
        <f>121511*(1/1000)</f>
        <v>121.511</v>
      </c>
      <c r="H25" s="289">
        <f>119515*1/1000</f>
        <v>119.515</v>
      </c>
      <c r="I25" s="292">
        <f>139804*1/1000</f>
        <v>139.804</v>
      </c>
      <c r="J25" s="289">
        <f>131900*1/1000</f>
        <v>131.9</v>
      </c>
      <c r="K25" s="293">
        <f>231747*1/1000</f>
        <v>231.74700000000001</v>
      </c>
      <c r="L25" s="294">
        <f>232952*1/1000</f>
        <v>232.952</v>
      </c>
      <c r="M25" s="295">
        <f>184298*1/1000</f>
        <v>184.298</v>
      </c>
      <c r="N25" s="294">
        <f>201875*1/1000</f>
        <v>201.875</v>
      </c>
      <c r="O25" s="294">
        <f>358165*1/1000</f>
        <v>358.16500000000002</v>
      </c>
      <c r="P25" s="294">
        <f>313496*1/1000</f>
        <v>313.49599999999998</v>
      </c>
      <c r="Q25" s="295">
        <f>320542*1/1000</f>
        <v>320.54199999999997</v>
      </c>
      <c r="R25" s="294">
        <f>342386*1/1000</f>
        <v>342.38600000000002</v>
      </c>
      <c r="S25" s="294">
        <f>382365*1/1000</f>
        <v>382.36500000000001</v>
      </c>
      <c r="T25" s="294">
        <f>376949*1/1000</f>
        <v>376.94900000000001</v>
      </c>
      <c r="U25" s="295">
        <f>375659*1/1000</f>
        <v>375.65899999999999</v>
      </c>
      <c r="V25" s="294">
        <f>403593*1/1000</f>
        <v>403.59300000000002</v>
      </c>
      <c r="W25" s="294">
        <f>410902*1/1000</f>
        <v>410.90199999999999</v>
      </c>
      <c r="X25" s="294">
        <f>401503*1/1000</f>
        <v>401.50299999999999</v>
      </c>
      <c r="Y25" s="295">
        <f>374424*1/1000</f>
        <v>374.42399999999998</v>
      </c>
      <c r="Z25" s="294">
        <f>398589*1/1000</f>
        <v>398.589</v>
      </c>
      <c r="AA25" s="301">
        <v>1374.4</v>
      </c>
      <c r="AB25" s="301">
        <v>1369.9</v>
      </c>
      <c r="AC25" s="297">
        <v>1453.4</v>
      </c>
      <c r="AD25" s="298">
        <v>1599.5</v>
      </c>
      <c r="AE25" s="298">
        <v>1988.6</v>
      </c>
      <c r="AF25" s="301">
        <v>1699.4</v>
      </c>
      <c r="AG25" s="299">
        <v>1619.1</v>
      </c>
      <c r="AH25" s="300">
        <v>1503.9</v>
      </c>
      <c r="AI25" s="300">
        <v>1541.1</v>
      </c>
      <c r="AJ25" s="300">
        <v>1571.8</v>
      </c>
      <c r="AK25" s="299">
        <v>1688</v>
      </c>
      <c r="AL25" s="300">
        <v>1608.5</v>
      </c>
      <c r="AM25" s="300">
        <v>1727</v>
      </c>
      <c r="AN25" s="300">
        <v>1758.5</v>
      </c>
      <c r="AO25" s="299">
        <v>1983.2</v>
      </c>
      <c r="AP25" s="529">
        <v>1990.7</v>
      </c>
      <c r="AQ25" s="529"/>
      <c r="AR25" s="529"/>
      <c r="AS25" s="299"/>
    </row>
    <row r="26" spans="1:45" s="143" customFormat="1" ht="20.149999999999999" customHeight="1">
      <c r="A26" s="396" t="s">
        <v>851</v>
      </c>
      <c r="B26" s="427" t="s">
        <v>150</v>
      </c>
      <c r="C26" s="302">
        <v>0</v>
      </c>
      <c r="D26" s="302">
        <f>(0*1/1000)</f>
        <v>0</v>
      </c>
      <c r="E26" s="302">
        <f>(0*1/1000)</f>
        <v>0</v>
      </c>
      <c r="F26" s="290">
        <f>3002*1/1000</f>
        <v>3.0019999999999998</v>
      </c>
      <c r="G26" s="304">
        <f>(0*1/1000)</f>
        <v>0</v>
      </c>
      <c r="H26" s="289">
        <f>9410*1/1000</f>
        <v>9.41</v>
      </c>
      <c r="I26" s="292">
        <f>4586*1/1000</f>
        <v>4.5860000000000003</v>
      </c>
      <c r="J26" s="289">
        <f>21265*1/1000</f>
        <v>21.265000000000001</v>
      </c>
      <c r="K26" s="293">
        <f>15496*1/1000</f>
        <v>15.496</v>
      </c>
      <c r="L26" s="294">
        <f>5267*1/1000</f>
        <v>5.2670000000000003</v>
      </c>
      <c r="M26" s="295">
        <f>7542*1/1000</f>
        <v>7.5419999999999998</v>
      </c>
      <c r="N26" s="294">
        <f>3254*1/1000</f>
        <v>3.254</v>
      </c>
      <c r="O26" s="294">
        <f>9402*1/1000</f>
        <v>9.4019999999999992</v>
      </c>
      <c r="P26" s="294">
        <f>9352*1/1000</f>
        <v>9.3520000000000003</v>
      </c>
      <c r="Q26" s="295">
        <f>10086*1/1000</f>
        <v>10.086</v>
      </c>
      <c r="R26" s="294">
        <f>9894*1/1000</f>
        <v>9.8940000000000001</v>
      </c>
      <c r="S26" s="294">
        <f>263*1/1000</f>
        <v>0.26300000000000001</v>
      </c>
      <c r="T26" s="294">
        <f>321*1/1000</f>
        <v>0.32100000000000001</v>
      </c>
      <c r="U26" s="295">
        <f>6494*1/1000</f>
        <v>6.4939999999999998</v>
      </c>
      <c r="V26" s="294">
        <f>1372*1/1000</f>
        <v>1.3720000000000001</v>
      </c>
      <c r="W26" s="294">
        <f>1952*1/1000</f>
        <v>1.952</v>
      </c>
      <c r="X26" s="294">
        <f>1195*1/1000</f>
        <v>1.1950000000000001</v>
      </c>
      <c r="Y26" s="295">
        <f>183*1/1000</f>
        <v>0.183</v>
      </c>
      <c r="Z26" s="294">
        <f>365*1/1000</f>
        <v>0.36499999999999999</v>
      </c>
      <c r="AA26" s="301">
        <v>28</v>
      </c>
      <c r="AB26" s="301">
        <v>26</v>
      </c>
      <c r="AC26" s="297">
        <v>26</v>
      </c>
      <c r="AD26" s="298">
        <v>28.9</v>
      </c>
      <c r="AE26" s="298">
        <v>1.5</v>
      </c>
      <c r="AF26" s="301">
        <v>0.7</v>
      </c>
      <c r="AG26" s="299">
        <v>0.7</v>
      </c>
      <c r="AH26" s="300">
        <v>1.9</v>
      </c>
      <c r="AI26" s="300">
        <v>1.4</v>
      </c>
      <c r="AJ26" s="300">
        <v>0.9</v>
      </c>
      <c r="AK26" s="299">
        <v>29.1</v>
      </c>
      <c r="AL26" s="300">
        <v>30.3</v>
      </c>
      <c r="AM26" s="300">
        <v>17</v>
      </c>
      <c r="AN26" s="300">
        <v>25.3</v>
      </c>
      <c r="AO26" s="299">
        <v>1.3</v>
      </c>
      <c r="AP26" s="529">
        <v>55.8</v>
      </c>
      <c r="AQ26" s="529"/>
      <c r="AR26" s="529"/>
      <c r="AS26" s="299"/>
    </row>
    <row r="27" spans="1:45" s="143" customFormat="1" ht="20.149999999999999" customHeight="1">
      <c r="A27" s="396" t="s">
        <v>852</v>
      </c>
      <c r="B27" s="427" t="s">
        <v>823</v>
      </c>
      <c r="C27" s="312" t="s">
        <v>125</v>
      </c>
      <c r="D27" s="337" t="s">
        <v>125</v>
      </c>
      <c r="E27" s="313" t="s">
        <v>125</v>
      </c>
      <c r="F27" s="313" t="s">
        <v>125</v>
      </c>
      <c r="G27" s="314" t="s">
        <v>125</v>
      </c>
      <c r="H27" s="315" t="s">
        <v>125</v>
      </c>
      <c r="I27" s="316" t="s">
        <v>125</v>
      </c>
      <c r="J27" s="315" t="s">
        <v>125</v>
      </c>
      <c r="K27" s="317" t="s">
        <v>125</v>
      </c>
      <c r="L27" s="317" t="s">
        <v>125</v>
      </c>
      <c r="M27" s="318" t="s">
        <v>125</v>
      </c>
      <c r="N27" s="317" t="s">
        <v>125</v>
      </c>
      <c r="O27" s="317" t="s">
        <v>125</v>
      </c>
      <c r="P27" s="317" t="s">
        <v>125</v>
      </c>
      <c r="Q27" s="295">
        <f>59361*1/1000</f>
        <v>59.360999999999997</v>
      </c>
      <c r="R27" s="319" t="s">
        <v>125</v>
      </c>
      <c r="S27" s="294">
        <f>53916*1/1000</f>
        <v>53.915999999999997</v>
      </c>
      <c r="T27" s="294">
        <f>54038*1/1000</f>
        <v>54.037999999999997</v>
      </c>
      <c r="U27" s="295">
        <f>57096*1/1000</f>
        <v>57.095999999999997</v>
      </c>
      <c r="V27" s="294">
        <f>60035*1/1000</f>
        <v>60.034999999999997</v>
      </c>
      <c r="W27" s="294">
        <f>63564*1/1000</f>
        <v>63.564</v>
      </c>
      <c r="X27" s="294">
        <f>65852*1/1000</f>
        <v>65.852000000000004</v>
      </c>
      <c r="Y27" s="295">
        <f>70055*1/1000</f>
        <v>70.055000000000007</v>
      </c>
      <c r="Z27" s="294">
        <f>70958*1/1000</f>
        <v>70.957999999999998</v>
      </c>
      <c r="AA27" s="301">
        <v>91.2</v>
      </c>
      <c r="AB27" s="301">
        <v>117.3</v>
      </c>
      <c r="AC27" s="297">
        <v>141.69999999999999</v>
      </c>
      <c r="AD27" s="298">
        <v>165.3</v>
      </c>
      <c r="AE27" s="298">
        <v>186.1</v>
      </c>
      <c r="AF27" s="301">
        <v>200.4</v>
      </c>
      <c r="AG27" s="299">
        <v>212.7</v>
      </c>
      <c r="AH27" s="300">
        <v>213.3</v>
      </c>
      <c r="AI27" s="300">
        <v>209.1</v>
      </c>
      <c r="AJ27" s="300">
        <v>207.6</v>
      </c>
      <c r="AK27" s="299">
        <v>207.2</v>
      </c>
      <c r="AL27" s="300">
        <v>205.7</v>
      </c>
      <c r="AM27" s="300">
        <v>202.3</v>
      </c>
      <c r="AN27" s="300">
        <v>203.5</v>
      </c>
      <c r="AO27" s="299">
        <v>207.9</v>
      </c>
      <c r="AP27" s="529">
        <v>206.9</v>
      </c>
      <c r="AQ27" s="529"/>
      <c r="AR27" s="529"/>
      <c r="AS27" s="299"/>
    </row>
    <row r="28" spans="1:45" s="143" customFormat="1" ht="20.149999999999999" customHeight="1">
      <c r="A28" s="396" t="s">
        <v>853</v>
      </c>
      <c r="B28" s="427" t="s">
        <v>824</v>
      </c>
      <c r="C28" s="289">
        <f>2712*1/1000</f>
        <v>2.7120000000000002</v>
      </c>
      <c r="D28" s="289">
        <f>22004*1/1000</f>
        <v>22.004000000000001</v>
      </c>
      <c r="E28" s="335">
        <f>37786*1/1000</f>
        <v>37.786000000000001</v>
      </c>
      <c r="F28" s="290">
        <f>68971*1/1000</f>
        <v>68.971000000000004</v>
      </c>
      <c r="G28" s="291">
        <f>61917*(1/1000)</f>
        <v>61.917000000000002</v>
      </c>
      <c r="H28" s="289">
        <f>85669*1/1000</f>
        <v>85.668999999999997</v>
      </c>
      <c r="I28" s="292">
        <f>65295*1/1000</f>
        <v>65.295000000000002</v>
      </c>
      <c r="J28" s="289">
        <f>59290*1/1000</f>
        <v>59.29</v>
      </c>
      <c r="K28" s="293">
        <f>62323*1/1000</f>
        <v>62.323</v>
      </c>
      <c r="L28" s="294">
        <f>62110*1/1000</f>
        <v>62.11</v>
      </c>
      <c r="M28" s="295">
        <f>77362*1/1000</f>
        <v>77.361999999999995</v>
      </c>
      <c r="N28" s="294">
        <f>122805*1/1000</f>
        <v>122.80500000000001</v>
      </c>
      <c r="O28" s="294">
        <f>126195*1/1000</f>
        <v>126.19499999999999</v>
      </c>
      <c r="P28" s="294">
        <f>156700*1/1000</f>
        <v>156.69999999999999</v>
      </c>
      <c r="Q28" s="295">
        <f>72467*1/1000</f>
        <v>72.466999999999999</v>
      </c>
      <c r="R28" s="294">
        <f>136299*1/1000</f>
        <v>136.29900000000001</v>
      </c>
      <c r="S28" s="294">
        <f>73814*1/1000</f>
        <v>73.813999999999993</v>
      </c>
      <c r="T28" s="294">
        <f>53239*1/1000</f>
        <v>53.238999999999997</v>
      </c>
      <c r="U28" s="295">
        <f>71968*1/1000</f>
        <v>71.968000000000004</v>
      </c>
      <c r="V28" s="294">
        <f>109187*1/1000</f>
        <v>109.187</v>
      </c>
      <c r="W28" s="294">
        <f>93754*1/1000</f>
        <v>93.754000000000005</v>
      </c>
      <c r="X28" s="294">
        <f>113708*1/1000</f>
        <v>113.708</v>
      </c>
      <c r="Y28" s="295">
        <f>105360*1/1000</f>
        <v>105.36</v>
      </c>
      <c r="Z28" s="294">
        <f>106732*1/1000</f>
        <v>106.732</v>
      </c>
      <c r="AA28" s="301">
        <v>221.9</v>
      </c>
      <c r="AB28" s="301">
        <v>224.2</v>
      </c>
      <c r="AC28" s="297">
        <v>160.1</v>
      </c>
      <c r="AD28" s="298">
        <v>212.9</v>
      </c>
      <c r="AE28" s="298">
        <v>226.2</v>
      </c>
      <c r="AF28" s="301">
        <v>255</v>
      </c>
      <c r="AG28" s="299">
        <v>399.5</v>
      </c>
      <c r="AH28" s="300">
        <v>69.599999999999994</v>
      </c>
      <c r="AI28" s="300">
        <v>62.8</v>
      </c>
      <c r="AJ28" s="300">
        <v>54.9</v>
      </c>
      <c r="AK28" s="299">
        <v>38.700000000000003</v>
      </c>
      <c r="AL28" s="300">
        <v>72.3</v>
      </c>
      <c r="AM28" s="300">
        <v>60.7</v>
      </c>
      <c r="AN28" s="300">
        <v>61.7</v>
      </c>
      <c r="AO28" s="299">
        <v>31.7</v>
      </c>
      <c r="AP28" s="529">
        <v>70.2</v>
      </c>
      <c r="AQ28" s="529"/>
      <c r="AR28" s="529"/>
      <c r="AS28" s="299"/>
    </row>
    <row r="29" spans="1:45" s="334" customFormat="1" ht="20.149999999999999" customHeight="1">
      <c r="A29" s="397" t="s">
        <v>843</v>
      </c>
      <c r="B29" s="324" t="s">
        <v>739</v>
      </c>
      <c r="C29" s="338"/>
      <c r="D29" s="338"/>
      <c r="E29" s="339"/>
      <c r="F29" s="340"/>
      <c r="G29" s="341"/>
      <c r="H29" s="338"/>
      <c r="I29" s="342"/>
      <c r="J29" s="338"/>
      <c r="K29" s="343"/>
      <c r="L29" s="344"/>
      <c r="M29" s="345"/>
      <c r="N29" s="344"/>
      <c r="O29" s="344"/>
      <c r="P29" s="344"/>
      <c r="Q29" s="345"/>
      <c r="R29" s="344"/>
      <c r="S29" s="344"/>
      <c r="T29" s="344"/>
      <c r="U29" s="345"/>
      <c r="V29" s="344"/>
      <c r="W29" s="344"/>
      <c r="X29" s="344"/>
      <c r="Y29" s="345"/>
      <c r="Z29" s="344"/>
      <c r="AA29" s="346"/>
      <c r="AB29" s="346"/>
      <c r="AC29" s="332">
        <v>22.2</v>
      </c>
      <c r="AD29" s="347">
        <v>26.3</v>
      </c>
      <c r="AE29" s="347">
        <v>27.3</v>
      </c>
      <c r="AF29" s="346">
        <v>3.8</v>
      </c>
      <c r="AG29" s="330">
        <v>10.5</v>
      </c>
      <c r="AH29" s="329">
        <v>0.2</v>
      </c>
      <c r="AI29" s="329">
        <v>3.6</v>
      </c>
      <c r="AJ29" s="329">
        <v>4.8</v>
      </c>
      <c r="AK29" s="330">
        <v>6.7</v>
      </c>
      <c r="AL29" s="329">
        <v>4.9000000000000004</v>
      </c>
      <c r="AM29" s="329">
        <v>5.3</v>
      </c>
      <c r="AN29" s="329">
        <v>6.4</v>
      </c>
      <c r="AO29" s="330">
        <v>5.0999999999999996</v>
      </c>
      <c r="AP29" s="532">
        <v>2.7</v>
      </c>
      <c r="AQ29" s="532"/>
      <c r="AR29" s="532"/>
      <c r="AS29" s="330"/>
    </row>
    <row r="30" spans="1:45" s="143" customFormat="1" ht="20.149999999999999" customHeight="1">
      <c r="A30" s="396" t="s">
        <v>854</v>
      </c>
      <c r="B30" s="427" t="s">
        <v>175</v>
      </c>
      <c r="C30" s="289">
        <f>13317*1/1000</f>
        <v>13.317</v>
      </c>
      <c r="D30" s="289">
        <f>2979*1/1000</f>
        <v>2.9790000000000001</v>
      </c>
      <c r="E30" s="335">
        <v>6.0999999999999999E-2</v>
      </c>
      <c r="F30" s="302">
        <f>0*1/1000</f>
        <v>0</v>
      </c>
      <c r="G30" s="304">
        <f>(0*1/1000)</f>
        <v>0</v>
      </c>
      <c r="H30" s="302">
        <f>0*1/1000</f>
        <v>0</v>
      </c>
      <c r="I30" s="304">
        <f>0*$B$80</f>
        <v>0</v>
      </c>
      <c r="J30" s="302">
        <f>0*1/1000</f>
        <v>0</v>
      </c>
      <c r="K30" s="306" t="s">
        <v>1</v>
      </c>
      <c r="L30" s="306">
        <f t="shared" ref="L30:Z30" si="16">0*1/1000</f>
        <v>0</v>
      </c>
      <c r="M30" s="307">
        <f t="shared" si="16"/>
        <v>0</v>
      </c>
      <c r="N30" s="306">
        <f t="shared" si="16"/>
        <v>0</v>
      </c>
      <c r="O30" s="306">
        <f t="shared" si="16"/>
        <v>0</v>
      </c>
      <c r="P30" s="306">
        <f t="shared" si="16"/>
        <v>0</v>
      </c>
      <c r="Q30" s="307">
        <f t="shared" si="16"/>
        <v>0</v>
      </c>
      <c r="R30" s="306">
        <f t="shared" si="16"/>
        <v>0</v>
      </c>
      <c r="S30" s="306">
        <f t="shared" si="16"/>
        <v>0</v>
      </c>
      <c r="T30" s="306">
        <f t="shared" si="16"/>
        <v>0</v>
      </c>
      <c r="U30" s="307">
        <f t="shared" si="16"/>
        <v>0</v>
      </c>
      <c r="V30" s="306">
        <f t="shared" si="16"/>
        <v>0</v>
      </c>
      <c r="W30" s="306">
        <f t="shared" si="16"/>
        <v>0</v>
      </c>
      <c r="X30" s="306">
        <f t="shared" si="16"/>
        <v>0</v>
      </c>
      <c r="Y30" s="307">
        <f t="shared" si="16"/>
        <v>0</v>
      </c>
      <c r="Z30" s="306">
        <f t="shared" si="16"/>
        <v>0</v>
      </c>
      <c r="AA30" s="348">
        <v>270</v>
      </c>
      <c r="AB30" s="348">
        <v>30</v>
      </c>
      <c r="AC30" s="307">
        <f>0*1/1000</f>
        <v>0</v>
      </c>
      <c r="AD30" s="298">
        <v>42.7</v>
      </c>
      <c r="AE30" s="298">
        <v>43.1</v>
      </c>
      <c r="AF30" s="348"/>
      <c r="AG30" s="299">
        <v>0</v>
      </c>
      <c r="AH30" s="300">
        <v>12.4</v>
      </c>
      <c r="AI30" s="300">
        <v>0</v>
      </c>
      <c r="AJ30" s="300">
        <v>0</v>
      </c>
      <c r="AK30" s="299">
        <v>0</v>
      </c>
      <c r="AL30" s="300">
        <v>0</v>
      </c>
      <c r="AM30" s="300">
        <v>0</v>
      </c>
      <c r="AN30" s="300">
        <v>0</v>
      </c>
      <c r="AO30" s="299">
        <v>0</v>
      </c>
      <c r="AP30" s="529">
        <v>0</v>
      </c>
      <c r="AQ30" s="529"/>
      <c r="AR30" s="529"/>
      <c r="AS30" s="299"/>
    </row>
    <row r="31" spans="1:45" s="143" customFormat="1" ht="20.149999999999999" customHeight="1">
      <c r="A31" s="396" t="s">
        <v>855</v>
      </c>
      <c r="B31" s="427" t="s">
        <v>19</v>
      </c>
      <c r="C31" s="289">
        <f>11874*1/1000</f>
        <v>11.874000000000001</v>
      </c>
      <c r="D31" s="289">
        <f>64478*1/1000</f>
        <v>64.477999999999994</v>
      </c>
      <c r="E31" s="335">
        <f>109833*1/1000</f>
        <v>109.833</v>
      </c>
      <c r="F31" s="290">
        <f>150726*1/1000</f>
        <v>150.726</v>
      </c>
      <c r="G31" s="291">
        <f>137291*(1/1000)</f>
        <v>137.291</v>
      </c>
      <c r="H31" s="289">
        <f>246422*1/1000</f>
        <v>246.422</v>
      </c>
      <c r="I31" s="292">
        <f>81270*1/1000</f>
        <v>81.27</v>
      </c>
      <c r="J31" s="289">
        <f>72652*1/1000</f>
        <v>72.652000000000001</v>
      </c>
      <c r="K31" s="293">
        <f>47571*1/1000</f>
        <v>47.570999999999998</v>
      </c>
      <c r="L31" s="294">
        <f>34038*1/1000</f>
        <v>34.037999999999997</v>
      </c>
      <c r="M31" s="295">
        <f>27615*1/1000</f>
        <v>27.614999999999998</v>
      </c>
      <c r="N31" s="294">
        <f>156414*1/1000</f>
        <v>156.41399999999999</v>
      </c>
      <c r="O31" s="294">
        <f>298614*1/1000</f>
        <v>298.61399999999998</v>
      </c>
      <c r="P31" s="294">
        <f>364116*1/1000</f>
        <v>364.11599999999999</v>
      </c>
      <c r="Q31" s="295">
        <f>277534*1/1000</f>
        <v>277.53399999999999</v>
      </c>
      <c r="R31" s="294">
        <f>422627*1/1000</f>
        <v>422.62700000000001</v>
      </c>
      <c r="S31" s="294">
        <f>309519*1/1000</f>
        <v>309.51900000000001</v>
      </c>
      <c r="T31" s="294">
        <f>225111*1/1000</f>
        <v>225.11099999999999</v>
      </c>
      <c r="U31" s="295">
        <f>270354*1/1000</f>
        <v>270.35399999999998</v>
      </c>
      <c r="V31" s="294">
        <f>324338*1/1000</f>
        <v>324.33800000000002</v>
      </c>
      <c r="W31" s="294">
        <f>265803*1/1000</f>
        <v>265.803</v>
      </c>
      <c r="X31" s="294">
        <f>215396*1/1000</f>
        <v>215.39599999999999</v>
      </c>
      <c r="Y31" s="295">
        <f>342251*1/1000</f>
        <v>342.25099999999998</v>
      </c>
      <c r="Z31" s="294">
        <f>428190*1/1000</f>
        <v>428.19</v>
      </c>
      <c r="AA31" s="301">
        <v>1894.3</v>
      </c>
      <c r="AB31" s="301">
        <v>1631</v>
      </c>
      <c r="AC31" s="297">
        <v>1735.3</v>
      </c>
      <c r="AD31" s="298">
        <v>1478.9</v>
      </c>
      <c r="AE31" s="298">
        <v>1383.8</v>
      </c>
      <c r="AF31" s="301">
        <v>1059.5999999999999</v>
      </c>
      <c r="AG31" s="299">
        <v>1512</v>
      </c>
      <c r="AH31" s="300">
        <v>1538.6</v>
      </c>
      <c r="AI31" s="300">
        <v>944.5</v>
      </c>
      <c r="AJ31" s="300">
        <v>1099.4000000000001</v>
      </c>
      <c r="AK31" s="299">
        <v>1326</v>
      </c>
      <c r="AL31" s="300">
        <v>1567.7</v>
      </c>
      <c r="AM31" s="300">
        <v>1354.6</v>
      </c>
      <c r="AN31" s="300">
        <v>1080.2</v>
      </c>
      <c r="AO31" s="299">
        <v>1161.5</v>
      </c>
      <c r="AP31" s="529">
        <v>785.9</v>
      </c>
      <c r="AQ31" s="529"/>
      <c r="AR31" s="529"/>
      <c r="AS31" s="299"/>
    </row>
    <row r="32" spans="1:45" s="143" customFormat="1" ht="20.149999999999999" customHeight="1">
      <c r="A32" s="396" t="s">
        <v>856</v>
      </c>
      <c r="B32" s="427" t="s">
        <v>70</v>
      </c>
      <c r="C32" s="336">
        <f>0*1/1000</f>
        <v>0</v>
      </c>
      <c r="D32" s="336">
        <f>(0*1/1000)</f>
        <v>0</v>
      </c>
      <c r="E32" s="302">
        <f>(0*1/1000)</f>
        <v>0</v>
      </c>
      <c r="F32" s="302">
        <f>0*1/1000</f>
        <v>0</v>
      </c>
      <c r="G32" s="304">
        <f>(0*1/1000)</f>
        <v>0</v>
      </c>
      <c r="H32" s="302">
        <f>0*1/1000</f>
        <v>0</v>
      </c>
      <c r="I32" s="304">
        <f>0*$B$80</f>
        <v>0</v>
      </c>
      <c r="J32" s="289">
        <f>26738*1/1000</f>
        <v>26.738</v>
      </c>
      <c r="K32" s="306">
        <f t="shared" ref="K32:Z33" si="17">0*1/1000</f>
        <v>0</v>
      </c>
      <c r="L32" s="306">
        <f t="shared" si="17"/>
        <v>0</v>
      </c>
      <c r="M32" s="307">
        <f t="shared" si="17"/>
        <v>0</v>
      </c>
      <c r="N32" s="306">
        <f t="shared" si="17"/>
        <v>0</v>
      </c>
      <c r="O32" s="306">
        <f t="shared" si="17"/>
        <v>0</v>
      </c>
      <c r="P32" s="306">
        <f t="shared" si="17"/>
        <v>0</v>
      </c>
      <c r="Q32" s="307">
        <f t="shared" si="17"/>
        <v>0</v>
      </c>
      <c r="R32" s="306">
        <f t="shared" si="17"/>
        <v>0</v>
      </c>
      <c r="S32" s="306">
        <f t="shared" si="17"/>
        <v>0</v>
      </c>
      <c r="T32" s="306">
        <f t="shared" si="17"/>
        <v>0</v>
      </c>
      <c r="U32" s="307">
        <f t="shared" si="17"/>
        <v>0</v>
      </c>
      <c r="V32" s="306">
        <f t="shared" si="17"/>
        <v>0</v>
      </c>
      <c r="W32" s="306">
        <f t="shared" si="17"/>
        <v>0</v>
      </c>
      <c r="X32" s="306">
        <f t="shared" si="17"/>
        <v>0</v>
      </c>
      <c r="Y32" s="307">
        <f t="shared" si="17"/>
        <v>0</v>
      </c>
      <c r="Z32" s="306">
        <f t="shared" si="17"/>
        <v>0</v>
      </c>
      <c r="AA32" s="348">
        <v>12.6</v>
      </c>
      <c r="AB32" s="348">
        <v>12.2</v>
      </c>
      <c r="AC32" s="297">
        <v>12.6</v>
      </c>
      <c r="AD32" s="298">
        <v>12.7</v>
      </c>
      <c r="AE32" s="298">
        <v>12.8</v>
      </c>
      <c r="AF32" s="348">
        <v>12.4</v>
      </c>
      <c r="AG32" s="299">
        <v>11.7</v>
      </c>
      <c r="AH32" s="300">
        <v>31.4</v>
      </c>
      <c r="AI32" s="300">
        <v>10.9</v>
      </c>
      <c r="AJ32" s="300">
        <v>10.8</v>
      </c>
      <c r="AK32" s="299">
        <v>10.7</v>
      </c>
      <c r="AL32" s="300">
        <v>9.6</v>
      </c>
      <c r="AM32" s="300">
        <v>8</v>
      </c>
      <c r="AN32" s="300">
        <v>8.1999999999999993</v>
      </c>
      <c r="AO32" s="299">
        <v>10.5</v>
      </c>
      <c r="AP32" s="529">
        <v>11.6</v>
      </c>
      <c r="AQ32" s="529"/>
      <c r="AR32" s="529"/>
      <c r="AS32" s="299"/>
    </row>
    <row r="33" spans="1:45" s="143" customFormat="1" ht="20.149999999999999" customHeight="1" thickBot="1">
      <c r="A33" s="396" t="s">
        <v>857</v>
      </c>
      <c r="B33" s="427" t="s">
        <v>20</v>
      </c>
      <c r="C33" s="336">
        <f>0*1/1000</f>
        <v>0</v>
      </c>
      <c r="D33" s="336">
        <f>(0*1/1000)</f>
        <v>0</v>
      </c>
      <c r="E33" s="335">
        <f>1361*1/1000</f>
        <v>1.361</v>
      </c>
      <c r="F33" s="302">
        <f>0*1/1000</f>
        <v>0</v>
      </c>
      <c r="G33" s="304">
        <f>(0*1/1000)</f>
        <v>0</v>
      </c>
      <c r="H33" s="302">
        <f>0*1/1000</f>
        <v>0</v>
      </c>
      <c r="I33" s="304">
        <f>0*$B$80</f>
        <v>0</v>
      </c>
      <c r="J33" s="302">
        <f>0*1/1000</f>
        <v>0</v>
      </c>
      <c r="K33" s="306">
        <f t="shared" si="17"/>
        <v>0</v>
      </c>
      <c r="L33" s="306">
        <f t="shared" si="17"/>
        <v>0</v>
      </c>
      <c r="M33" s="307">
        <f t="shared" si="17"/>
        <v>0</v>
      </c>
      <c r="N33" s="306">
        <f t="shared" si="17"/>
        <v>0</v>
      </c>
      <c r="O33" s="306">
        <f t="shared" si="17"/>
        <v>0</v>
      </c>
      <c r="P33" s="306">
        <f t="shared" si="17"/>
        <v>0</v>
      </c>
      <c r="Q33" s="307">
        <f t="shared" si="17"/>
        <v>0</v>
      </c>
      <c r="R33" s="306">
        <f t="shared" si="17"/>
        <v>0</v>
      </c>
      <c r="S33" s="306">
        <f t="shared" si="17"/>
        <v>0</v>
      </c>
      <c r="T33" s="306">
        <f t="shared" si="17"/>
        <v>0</v>
      </c>
      <c r="U33" s="307">
        <f t="shared" si="17"/>
        <v>0</v>
      </c>
      <c r="V33" s="306">
        <f t="shared" si="17"/>
        <v>0</v>
      </c>
      <c r="W33" s="306">
        <f t="shared" si="17"/>
        <v>0</v>
      </c>
      <c r="X33" s="306">
        <f t="shared" si="17"/>
        <v>0</v>
      </c>
      <c r="Y33" s="307">
        <f t="shared" si="17"/>
        <v>0</v>
      </c>
      <c r="Z33" s="306">
        <f t="shared" si="17"/>
        <v>0</v>
      </c>
      <c r="AA33" s="304">
        <v>0</v>
      </c>
      <c r="AB33" s="304">
        <v>0</v>
      </c>
      <c r="AC33" s="307">
        <v>0</v>
      </c>
      <c r="AD33" s="306">
        <v>0</v>
      </c>
      <c r="AE33" s="306">
        <v>0</v>
      </c>
      <c r="AF33" s="306">
        <v>0</v>
      </c>
      <c r="AG33" s="299">
        <v>0</v>
      </c>
      <c r="AH33" s="309">
        <v>0</v>
      </c>
      <c r="AI33" s="309">
        <v>0</v>
      </c>
      <c r="AJ33" s="309">
        <v>0</v>
      </c>
      <c r="AK33" s="299">
        <v>0</v>
      </c>
      <c r="AL33" s="309">
        <v>0</v>
      </c>
      <c r="AM33" s="309">
        <v>0</v>
      </c>
      <c r="AN33" s="309">
        <v>0</v>
      </c>
      <c r="AO33" s="299">
        <v>0</v>
      </c>
      <c r="AP33" s="529">
        <v>0</v>
      </c>
      <c r="AQ33" s="529"/>
      <c r="AR33" s="529"/>
      <c r="AS33" s="299"/>
    </row>
    <row r="34" spans="1:45" s="287" customFormat="1" ht="20.149999999999999" customHeight="1" thickBot="1">
      <c r="A34" s="399" t="s">
        <v>858</v>
      </c>
      <c r="B34" s="210" t="s">
        <v>21</v>
      </c>
      <c r="C34" s="358">
        <f t="shared" ref="C34:K34" si="18">SUM(C20:C33)</f>
        <v>104.505</v>
      </c>
      <c r="D34" s="358">
        <f t="shared" si="18"/>
        <v>154.012</v>
      </c>
      <c r="E34" s="358">
        <f t="shared" si="18"/>
        <v>250.34899999999999</v>
      </c>
      <c r="F34" s="358">
        <f t="shared" si="18"/>
        <v>431.84100000000001</v>
      </c>
      <c r="G34" s="359">
        <f t="shared" si="18"/>
        <v>467.834</v>
      </c>
      <c r="H34" s="358">
        <f t="shared" si="18"/>
        <v>556.01499999999999</v>
      </c>
      <c r="I34" s="359">
        <f t="shared" si="18"/>
        <v>458.29199999999997</v>
      </c>
      <c r="J34" s="358">
        <f t="shared" si="18"/>
        <v>433.93599999999998</v>
      </c>
      <c r="K34" s="360">
        <f t="shared" si="18"/>
        <v>499.149</v>
      </c>
      <c r="L34" s="360">
        <f t="shared" ref="L34:Q34" si="19">SUM(L20:L33)</f>
        <v>501.62200000000001</v>
      </c>
      <c r="M34" s="361">
        <f t="shared" si="19"/>
        <v>469.971</v>
      </c>
      <c r="N34" s="360">
        <f t="shared" si="19"/>
        <v>640.30700000000002</v>
      </c>
      <c r="O34" s="360">
        <f t="shared" si="19"/>
        <v>1124.9080000000001</v>
      </c>
      <c r="P34" s="360">
        <f t="shared" si="19"/>
        <v>1206.2759999999998</v>
      </c>
      <c r="Q34" s="361">
        <f t="shared" si="19"/>
        <v>1070.4000000000001</v>
      </c>
      <c r="R34" s="360">
        <f t="shared" ref="R34:X34" si="20">SUM(R20:R33)</f>
        <v>1273.798</v>
      </c>
      <c r="S34" s="360">
        <f t="shared" si="20"/>
        <v>1172.6559999999999</v>
      </c>
      <c r="T34" s="360">
        <f t="shared" si="20"/>
        <v>1058.173</v>
      </c>
      <c r="U34" s="361">
        <f t="shared" si="20"/>
        <v>1085.1969999999999</v>
      </c>
      <c r="V34" s="360">
        <f t="shared" si="20"/>
        <v>1204.625</v>
      </c>
      <c r="W34" s="360">
        <f t="shared" si="20"/>
        <v>1164.163</v>
      </c>
      <c r="X34" s="360">
        <f t="shared" si="20"/>
        <v>1161.885</v>
      </c>
      <c r="Y34" s="361">
        <f t="shared" ref="Y34:Z34" si="21">SUM(Y20:Y33)</f>
        <v>1220.3849999999998</v>
      </c>
      <c r="Z34" s="360">
        <f t="shared" si="21"/>
        <v>1396.8419999999999</v>
      </c>
      <c r="AA34" s="364">
        <f t="shared" ref="AA34:AB34" si="22">SUM(AA20:AA33)</f>
        <v>4435.3</v>
      </c>
      <c r="AB34" s="364">
        <f t="shared" si="22"/>
        <v>3899.7999999999997</v>
      </c>
      <c r="AC34" s="363">
        <f t="shared" ref="AC34:AH34" si="23">SUM(AC20:AC33)-AC29</f>
        <v>3982.6</v>
      </c>
      <c r="AD34" s="364">
        <f t="shared" si="23"/>
        <v>3956.9</v>
      </c>
      <c r="AE34" s="364">
        <f t="shared" si="23"/>
        <v>4274.2</v>
      </c>
      <c r="AF34" s="364">
        <f t="shared" si="23"/>
        <v>3747.2000000000003</v>
      </c>
      <c r="AG34" s="365">
        <f t="shared" si="23"/>
        <v>4228.8999999999987</v>
      </c>
      <c r="AH34" s="366">
        <f t="shared" si="23"/>
        <v>3866.0000000000005</v>
      </c>
      <c r="AI34" s="366">
        <f t="shared" ref="AI34:AJ34" si="24">SUM(AI20:AI33)-AI29</f>
        <v>3203.3</v>
      </c>
      <c r="AJ34" s="366">
        <f t="shared" si="24"/>
        <v>3445.5000000000005</v>
      </c>
      <c r="AK34" s="365">
        <f t="shared" ref="AK34" si="25">SUM(AK20:AK33)-AK29</f>
        <v>3770.3999999999992</v>
      </c>
      <c r="AL34" s="366">
        <f t="shared" ref="AL34:AM34" si="26">SUM(AL20:AL33)-AL29</f>
        <v>3911.1000000000004</v>
      </c>
      <c r="AM34" s="366">
        <f t="shared" si="26"/>
        <v>3862.9</v>
      </c>
      <c r="AN34" s="366">
        <f t="shared" ref="AN34:AO34" si="27">SUM(AN20:AN33)-AN29</f>
        <v>3676.6</v>
      </c>
      <c r="AO34" s="366">
        <f t="shared" si="27"/>
        <v>3931.5</v>
      </c>
      <c r="AP34" s="534">
        <f>SUM(AP20:AP32)-AP29</f>
        <v>4363.8</v>
      </c>
      <c r="AQ34" s="534">
        <f>SUM(AQ20:AQ33)-AQ29</f>
        <v>0</v>
      </c>
      <c r="AR34" s="534">
        <f>SUM(AR20:AR33)-AR29</f>
        <v>0</v>
      </c>
      <c r="AS34" s="366">
        <f>SUM(AS20:AS33)-AS29</f>
        <v>0</v>
      </c>
    </row>
    <row r="35" spans="1:45" s="33" customFormat="1" ht="22.5" customHeight="1" thickBot="1">
      <c r="A35" s="400" t="s">
        <v>859</v>
      </c>
      <c r="B35" s="286" t="s">
        <v>22</v>
      </c>
      <c r="C35" s="349">
        <f>C34+C19</f>
        <v>257.64800000000002</v>
      </c>
      <c r="D35" s="349">
        <f>D34+D19</f>
        <v>241.97800000000001</v>
      </c>
      <c r="E35" s="349">
        <f>E34+E19</f>
        <v>353.358</v>
      </c>
      <c r="F35" s="349">
        <f>F34+F19</f>
        <v>595.20299999999997</v>
      </c>
      <c r="G35" s="350">
        <f t="shared" ref="G35:K35" si="28">G34+G19</f>
        <v>630.44000000000005</v>
      </c>
      <c r="H35" s="349">
        <f t="shared" si="28"/>
        <v>757.13099999999997</v>
      </c>
      <c r="I35" s="350">
        <f t="shared" si="28"/>
        <v>681.41300000000001</v>
      </c>
      <c r="J35" s="349">
        <f t="shared" si="28"/>
        <v>774.846</v>
      </c>
      <c r="K35" s="351">
        <f t="shared" si="28"/>
        <v>945.67500000000007</v>
      </c>
      <c r="L35" s="351">
        <f t="shared" ref="L35:AA35" si="29">L19+L34</f>
        <v>984.87200000000007</v>
      </c>
      <c r="M35" s="352">
        <f t="shared" si="29"/>
        <v>1015.1950000000001</v>
      </c>
      <c r="N35" s="351">
        <f t="shared" si="29"/>
        <v>1226.854</v>
      </c>
      <c r="O35" s="351">
        <f t="shared" si="29"/>
        <v>5248.0749999999998</v>
      </c>
      <c r="P35" s="351">
        <f t="shared" si="29"/>
        <v>5363.8689999999997</v>
      </c>
      <c r="Q35" s="352">
        <f t="shared" si="29"/>
        <v>5348.5479999999989</v>
      </c>
      <c r="R35" s="351">
        <f t="shared" si="29"/>
        <v>5502.7539999999999</v>
      </c>
      <c r="S35" s="351">
        <f t="shared" si="29"/>
        <v>5597.8010000000004</v>
      </c>
      <c r="T35" s="351">
        <f t="shared" si="29"/>
        <v>5514.8739999999998</v>
      </c>
      <c r="U35" s="352">
        <f t="shared" si="29"/>
        <v>5561.3450000000003</v>
      </c>
      <c r="V35" s="351">
        <f t="shared" si="29"/>
        <v>5629.4740000000011</v>
      </c>
      <c r="W35" s="351">
        <f t="shared" si="29"/>
        <v>5592.7070000000003</v>
      </c>
      <c r="X35" s="351">
        <f t="shared" si="29"/>
        <v>5597.9810000000007</v>
      </c>
      <c r="Y35" s="352">
        <f t="shared" si="29"/>
        <v>5676.23</v>
      </c>
      <c r="Z35" s="351">
        <f t="shared" si="29"/>
        <v>5851.1940000000004</v>
      </c>
      <c r="AA35" s="355">
        <f t="shared" si="29"/>
        <v>27827.1</v>
      </c>
      <c r="AB35" s="355">
        <f t="shared" ref="AB35:AC35" si="30">AB19+AB34</f>
        <v>27481.199999999997</v>
      </c>
      <c r="AC35" s="354">
        <f t="shared" si="30"/>
        <v>27338.699999999997</v>
      </c>
      <c r="AD35" s="355">
        <f t="shared" ref="AD35:AI35" si="31">AD19+AD34</f>
        <v>27088.9</v>
      </c>
      <c r="AE35" s="355">
        <f t="shared" si="31"/>
        <v>27141.8</v>
      </c>
      <c r="AF35" s="355">
        <f t="shared" si="31"/>
        <v>26143.5</v>
      </c>
      <c r="AG35" s="356">
        <f t="shared" si="31"/>
        <v>26490.099999999995</v>
      </c>
      <c r="AH35" s="357">
        <f t="shared" si="31"/>
        <v>28355.499999999996</v>
      </c>
      <c r="AI35" s="357">
        <f t="shared" si="31"/>
        <v>27581.1</v>
      </c>
      <c r="AJ35" s="357">
        <f t="shared" ref="AJ35" si="32">AJ19+AJ34</f>
        <v>27493.100000000002</v>
      </c>
      <c r="AK35" s="356">
        <f t="shared" ref="AK35:AL35" si="33">AK19+AK34</f>
        <v>27729.299999999996</v>
      </c>
      <c r="AL35" s="357">
        <f t="shared" si="33"/>
        <v>27553.199999999997</v>
      </c>
      <c r="AM35" s="357">
        <f t="shared" ref="AM35:AN35" si="34">AM19+AM34</f>
        <v>27317.5</v>
      </c>
      <c r="AN35" s="357">
        <f t="shared" si="34"/>
        <v>26892.599999999995</v>
      </c>
      <c r="AO35" s="357">
        <f t="shared" ref="AO35" si="35">AO19+AO34</f>
        <v>27756</v>
      </c>
      <c r="AP35" s="357">
        <f>AP19+AP34</f>
        <v>27894.399999999998</v>
      </c>
      <c r="AQ35" s="357">
        <f>AQ19+AQ34</f>
        <v>0</v>
      </c>
      <c r="AR35" s="357">
        <f>AR19+AR34</f>
        <v>0</v>
      </c>
      <c r="AS35" s="357">
        <f>AS19+AS34</f>
        <v>0</v>
      </c>
    </row>
    <row r="36" spans="1:45" s="239" customFormat="1" ht="31.5" customHeight="1">
      <c r="A36" s="285" t="s">
        <v>860</v>
      </c>
      <c r="B36" s="401" t="s">
        <v>23</v>
      </c>
      <c r="C36" s="244"/>
      <c r="D36" s="244"/>
      <c r="E36" s="244"/>
      <c r="F36" s="245"/>
      <c r="G36" s="246"/>
      <c r="H36" s="240"/>
      <c r="I36" s="237"/>
      <c r="J36" s="238"/>
      <c r="K36" s="237"/>
      <c r="L36" s="237"/>
      <c r="M36" s="238"/>
      <c r="N36" s="237"/>
      <c r="O36" s="237"/>
      <c r="P36" s="237"/>
      <c r="Q36" s="238"/>
      <c r="R36" s="237"/>
      <c r="S36" s="237"/>
      <c r="T36" s="237"/>
      <c r="U36" s="238"/>
      <c r="V36" s="237"/>
      <c r="W36" s="237"/>
      <c r="X36" s="237"/>
      <c r="Y36" s="238"/>
      <c r="Z36" s="237"/>
      <c r="AA36" s="243"/>
      <c r="AB36" s="243"/>
      <c r="AC36" s="238"/>
      <c r="AD36" s="237"/>
      <c r="AE36" s="237"/>
      <c r="AF36" s="243"/>
      <c r="AG36" s="241"/>
      <c r="AH36" s="242"/>
      <c r="AI36" s="242"/>
      <c r="AJ36" s="242"/>
      <c r="AK36" s="241"/>
      <c r="AL36" s="242"/>
      <c r="AM36" s="242"/>
      <c r="AN36" s="242"/>
      <c r="AO36" s="241"/>
      <c r="AP36" s="542"/>
      <c r="AQ36" s="542"/>
      <c r="AR36" s="542"/>
      <c r="AS36" s="241"/>
    </row>
    <row r="37" spans="1:45" s="143" customFormat="1" ht="20.149999999999999" customHeight="1">
      <c r="A37" s="396" t="s">
        <v>861</v>
      </c>
      <c r="B37" s="427" t="s">
        <v>24</v>
      </c>
      <c r="C37" s="289">
        <f>500*1/1000</f>
        <v>0.5</v>
      </c>
      <c r="D37" s="289">
        <f>10500*1/1000</f>
        <v>10.5</v>
      </c>
      <c r="E37" s="335">
        <f>10500*1/1000</f>
        <v>10.5</v>
      </c>
      <c r="F37" s="290">
        <f t="shared" ref="F37:N37" si="36">10733*1/1000</f>
        <v>10.733000000000001</v>
      </c>
      <c r="G37" s="291">
        <f t="shared" si="36"/>
        <v>10.733000000000001</v>
      </c>
      <c r="H37" s="290">
        <f t="shared" si="36"/>
        <v>10.733000000000001</v>
      </c>
      <c r="I37" s="291">
        <f t="shared" si="36"/>
        <v>10.733000000000001</v>
      </c>
      <c r="J37" s="290">
        <f t="shared" si="36"/>
        <v>10.733000000000001</v>
      </c>
      <c r="K37" s="291">
        <f t="shared" si="36"/>
        <v>10.733000000000001</v>
      </c>
      <c r="L37" s="291">
        <f t="shared" si="36"/>
        <v>10.733000000000001</v>
      </c>
      <c r="M37" s="290">
        <f t="shared" si="36"/>
        <v>10.733000000000001</v>
      </c>
      <c r="N37" s="291">
        <f t="shared" si="36"/>
        <v>10.733000000000001</v>
      </c>
      <c r="O37" s="291">
        <f t="shared" ref="O37:Z37" si="37">13934*1/1000</f>
        <v>13.933999999999999</v>
      </c>
      <c r="P37" s="291">
        <f t="shared" si="37"/>
        <v>13.933999999999999</v>
      </c>
      <c r="Q37" s="290">
        <f t="shared" si="37"/>
        <v>13.933999999999999</v>
      </c>
      <c r="R37" s="291">
        <f t="shared" si="37"/>
        <v>13.933999999999999</v>
      </c>
      <c r="S37" s="291">
        <f t="shared" si="37"/>
        <v>13.933999999999999</v>
      </c>
      <c r="T37" s="291">
        <f t="shared" si="37"/>
        <v>13.933999999999999</v>
      </c>
      <c r="U37" s="367">
        <f t="shared" si="37"/>
        <v>13.933999999999999</v>
      </c>
      <c r="V37" s="368">
        <f t="shared" si="37"/>
        <v>13.933999999999999</v>
      </c>
      <c r="W37" s="368">
        <f t="shared" si="37"/>
        <v>13.933999999999999</v>
      </c>
      <c r="X37" s="368">
        <f t="shared" si="37"/>
        <v>13.933999999999999</v>
      </c>
      <c r="Y37" s="367">
        <f t="shared" si="37"/>
        <v>13.933999999999999</v>
      </c>
      <c r="Z37" s="368">
        <f t="shared" si="37"/>
        <v>13.933999999999999</v>
      </c>
      <c r="AA37" s="301">
        <v>25.6</v>
      </c>
      <c r="AB37" s="301">
        <v>25.6</v>
      </c>
      <c r="AC37" s="369">
        <v>25.6</v>
      </c>
      <c r="AD37" s="370">
        <v>25.6</v>
      </c>
      <c r="AE37" s="370">
        <v>25.6</v>
      </c>
      <c r="AF37" s="370">
        <v>25.6</v>
      </c>
      <c r="AG37" s="371">
        <v>25.6</v>
      </c>
      <c r="AH37" s="300">
        <v>25.6</v>
      </c>
      <c r="AI37" s="300">
        <v>25.6</v>
      </c>
      <c r="AJ37" s="300">
        <v>25.6</v>
      </c>
      <c r="AK37" s="371">
        <v>25.6</v>
      </c>
      <c r="AL37" s="300">
        <v>25.6</v>
      </c>
      <c r="AM37" s="300">
        <v>25.6</v>
      </c>
      <c r="AN37" s="300">
        <v>25.6</v>
      </c>
      <c r="AO37" s="371">
        <v>25.6</v>
      </c>
      <c r="AP37" s="529">
        <v>25.6</v>
      </c>
      <c r="AQ37" s="529"/>
      <c r="AR37" s="529"/>
      <c r="AS37" s="371"/>
    </row>
    <row r="38" spans="1:45" s="143" customFormat="1" ht="20.149999999999999" customHeight="1">
      <c r="A38" s="396" t="s">
        <v>862</v>
      </c>
      <c r="B38" s="427" t="s">
        <v>25</v>
      </c>
      <c r="C38" s="302">
        <v>0</v>
      </c>
      <c r="D38" s="302">
        <v>0</v>
      </c>
      <c r="E38" s="302">
        <v>0</v>
      </c>
      <c r="F38" s="290">
        <f>3500*1/1000</f>
        <v>3.5</v>
      </c>
      <c r="G38" s="291">
        <f>3500*1/1000</f>
        <v>3.5</v>
      </c>
      <c r="H38" s="290">
        <f>3964*1/1000</f>
        <v>3.964</v>
      </c>
      <c r="I38" s="291">
        <f>73997*1/1000</f>
        <v>73.997</v>
      </c>
      <c r="J38" s="290">
        <f>73997*1/1000</f>
        <v>73.997</v>
      </c>
      <c r="K38" s="291">
        <f>156534*1/1000</f>
        <v>156.53399999999999</v>
      </c>
      <c r="L38" s="291">
        <f>156534*1/1000</f>
        <v>156.53399999999999</v>
      </c>
      <c r="M38" s="290">
        <f>156534*1/1000</f>
        <v>156.53399999999999</v>
      </c>
      <c r="N38" s="291">
        <f>156534*1/1000</f>
        <v>156.53399999999999</v>
      </c>
      <c r="O38" s="291">
        <f>432265*1/1000</f>
        <v>432.26499999999999</v>
      </c>
      <c r="P38" s="291">
        <f>432265*1/1000</f>
        <v>432.26499999999999</v>
      </c>
      <c r="Q38" s="372" t="s">
        <v>120</v>
      </c>
      <c r="R38" s="291">
        <f>432265*1/1000</f>
        <v>432.26499999999999</v>
      </c>
      <c r="S38" s="304">
        <v>0</v>
      </c>
      <c r="T38" s="304">
        <v>0</v>
      </c>
      <c r="U38" s="302">
        <v>0</v>
      </c>
      <c r="V38" s="304">
        <v>0</v>
      </c>
      <c r="W38" s="304">
        <v>0</v>
      </c>
      <c r="X38" s="304">
        <v>0</v>
      </c>
      <c r="Y38" s="302">
        <v>0</v>
      </c>
      <c r="Z38" s="304">
        <v>0</v>
      </c>
      <c r="AA38" s="304">
        <v>0</v>
      </c>
      <c r="AB38" s="304">
        <v>0</v>
      </c>
      <c r="AC38" s="302">
        <v>0</v>
      </c>
      <c r="AD38" s="304">
        <v>0</v>
      </c>
      <c r="AE38" s="304">
        <v>0</v>
      </c>
      <c r="AF38" s="304">
        <v>0</v>
      </c>
      <c r="AG38" s="320">
        <v>0</v>
      </c>
      <c r="AH38" s="322">
        <v>0</v>
      </c>
      <c r="AI38" s="322">
        <v>0</v>
      </c>
      <c r="AJ38" s="322">
        <v>0</v>
      </c>
      <c r="AK38" s="320">
        <v>0</v>
      </c>
      <c r="AL38" s="322">
        <v>0</v>
      </c>
      <c r="AM38" s="322">
        <v>0</v>
      </c>
      <c r="AN38" s="322">
        <v>0</v>
      </c>
      <c r="AO38" s="320">
        <v>0</v>
      </c>
      <c r="AP38" s="536">
        <v>0</v>
      </c>
      <c r="AQ38" s="536"/>
      <c r="AR38" s="536"/>
      <c r="AS38" s="320"/>
    </row>
    <row r="39" spans="1:45" s="143" customFormat="1" ht="20.149999999999999" customHeight="1">
      <c r="A39" s="396" t="s">
        <v>863</v>
      </c>
      <c r="B39" s="427" t="s">
        <v>26</v>
      </c>
      <c r="C39" s="302">
        <v>0</v>
      </c>
      <c r="D39" s="302">
        <v>0</v>
      </c>
      <c r="E39" s="302">
        <v>0</v>
      </c>
      <c r="F39" s="290">
        <f t="shared" ref="F39:N39" si="38">10174*1/1000</f>
        <v>10.173999999999999</v>
      </c>
      <c r="G39" s="291">
        <f t="shared" si="38"/>
        <v>10.173999999999999</v>
      </c>
      <c r="H39" s="290">
        <f t="shared" si="38"/>
        <v>10.173999999999999</v>
      </c>
      <c r="I39" s="291">
        <f t="shared" si="38"/>
        <v>10.173999999999999</v>
      </c>
      <c r="J39" s="290">
        <f t="shared" si="38"/>
        <v>10.173999999999999</v>
      </c>
      <c r="K39" s="291">
        <f t="shared" si="38"/>
        <v>10.173999999999999</v>
      </c>
      <c r="L39" s="291">
        <f t="shared" si="38"/>
        <v>10.173999999999999</v>
      </c>
      <c r="M39" s="290">
        <f t="shared" si="38"/>
        <v>10.173999999999999</v>
      </c>
      <c r="N39" s="291">
        <f t="shared" si="38"/>
        <v>10.173999999999999</v>
      </c>
      <c r="O39" s="291">
        <f>1305277*1/1000</f>
        <v>1305.277</v>
      </c>
      <c r="P39" s="373">
        <f>1305277*1/1000</f>
        <v>1305.277</v>
      </c>
      <c r="Q39" s="374" t="s">
        <v>120</v>
      </c>
      <c r="R39" s="373">
        <f>1305277*1/1000</f>
        <v>1305.277</v>
      </c>
      <c r="S39" s="304">
        <v>0</v>
      </c>
      <c r="T39" s="304">
        <v>0</v>
      </c>
      <c r="U39" s="302">
        <v>0</v>
      </c>
      <c r="V39" s="304">
        <v>0</v>
      </c>
      <c r="W39" s="304">
        <v>0</v>
      </c>
      <c r="X39" s="304">
        <v>0</v>
      </c>
      <c r="Y39" s="302">
        <v>0</v>
      </c>
      <c r="Z39" s="304">
        <v>0</v>
      </c>
      <c r="AA39" s="304">
        <v>0</v>
      </c>
      <c r="AB39" s="304">
        <v>0</v>
      </c>
      <c r="AC39" s="302">
        <v>0</v>
      </c>
      <c r="AD39" s="304">
        <v>0</v>
      </c>
      <c r="AE39" s="304">
        <v>0</v>
      </c>
      <c r="AF39" s="304">
        <v>0</v>
      </c>
      <c r="AG39" s="320">
        <v>0</v>
      </c>
      <c r="AH39" s="322">
        <v>0</v>
      </c>
      <c r="AI39" s="322">
        <v>0</v>
      </c>
      <c r="AJ39" s="322">
        <v>0</v>
      </c>
      <c r="AK39" s="320">
        <v>0</v>
      </c>
      <c r="AL39" s="322">
        <v>0</v>
      </c>
      <c r="AM39" s="322">
        <v>0</v>
      </c>
      <c r="AN39" s="322">
        <v>0</v>
      </c>
      <c r="AO39" s="320">
        <v>0</v>
      </c>
      <c r="AP39" s="536">
        <v>0</v>
      </c>
      <c r="AQ39" s="536"/>
      <c r="AR39" s="536"/>
      <c r="AS39" s="320"/>
    </row>
    <row r="40" spans="1:45" s="143" customFormat="1" ht="20.149999999999999" customHeight="1">
      <c r="A40" s="396" t="s">
        <v>864</v>
      </c>
      <c r="B40" s="427" t="s">
        <v>825</v>
      </c>
      <c r="C40" s="313" t="s">
        <v>120</v>
      </c>
      <c r="D40" s="313" t="s">
        <v>120</v>
      </c>
      <c r="E40" s="313" t="s">
        <v>120</v>
      </c>
      <c r="F40" s="313" t="s">
        <v>120</v>
      </c>
      <c r="G40" s="314" t="s">
        <v>120</v>
      </c>
      <c r="H40" s="375" t="s">
        <v>120</v>
      </c>
      <c r="I40" s="314" t="s">
        <v>120</v>
      </c>
      <c r="J40" s="375" t="s">
        <v>120</v>
      </c>
      <c r="K40" s="314" t="s">
        <v>120</v>
      </c>
      <c r="L40" s="376" t="s">
        <v>120</v>
      </c>
      <c r="M40" s="372" t="s">
        <v>120</v>
      </c>
      <c r="N40" s="376" t="s">
        <v>120</v>
      </c>
      <c r="O40" s="377" t="s">
        <v>120</v>
      </c>
      <c r="P40" s="377" t="s">
        <v>120</v>
      </c>
      <c r="Q40" s="378">
        <f>1295103*1/1000</f>
        <v>1295.1030000000001</v>
      </c>
      <c r="R40" s="379" t="s">
        <v>120</v>
      </c>
      <c r="S40" s="373">
        <f t="shared" ref="S40:Z40" si="39">1295103*1/1000</f>
        <v>1295.1030000000001</v>
      </c>
      <c r="T40" s="373">
        <f t="shared" si="39"/>
        <v>1295.1030000000001</v>
      </c>
      <c r="U40" s="380">
        <f t="shared" si="39"/>
        <v>1295.1030000000001</v>
      </c>
      <c r="V40" s="381">
        <f t="shared" si="39"/>
        <v>1295.1030000000001</v>
      </c>
      <c r="W40" s="381">
        <f t="shared" si="39"/>
        <v>1295.1030000000001</v>
      </c>
      <c r="X40" s="381">
        <f t="shared" si="39"/>
        <v>1295.1030000000001</v>
      </c>
      <c r="Y40" s="380">
        <f t="shared" si="39"/>
        <v>1295.1030000000001</v>
      </c>
      <c r="Z40" s="381">
        <f t="shared" si="39"/>
        <v>1295.1030000000001</v>
      </c>
      <c r="AA40" s="382">
        <v>7237.5</v>
      </c>
      <c r="AB40" s="382">
        <v>7237.5</v>
      </c>
      <c r="AC40" s="383">
        <v>7174</v>
      </c>
      <c r="AD40" s="384">
        <v>7237.4</v>
      </c>
      <c r="AE40" s="384">
        <v>7174</v>
      </c>
      <c r="AF40" s="384">
        <v>7174</v>
      </c>
      <c r="AG40" s="299">
        <v>7174</v>
      </c>
      <c r="AH40" s="300">
        <v>7174</v>
      </c>
      <c r="AI40" s="300">
        <v>7174</v>
      </c>
      <c r="AJ40" s="300">
        <v>7174</v>
      </c>
      <c r="AK40" s="299">
        <v>7174</v>
      </c>
      <c r="AL40" s="300">
        <v>7174</v>
      </c>
      <c r="AM40" s="300">
        <v>7174</v>
      </c>
      <c r="AN40" s="300">
        <v>7174</v>
      </c>
      <c r="AO40" s="299">
        <v>7174</v>
      </c>
      <c r="AP40" s="529">
        <v>7174</v>
      </c>
      <c r="AQ40" s="529"/>
      <c r="AR40" s="529"/>
      <c r="AS40" s="299"/>
    </row>
    <row r="41" spans="1:45" s="143" customFormat="1" ht="20.149999999999999" customHeight="1">
      <c r="A41" s="396" t="s">
        <v>865</v>
      </c>
      <c r="B41" s="427" t="s">
        <v>100</v>
      </c>
      <c r="C41" s="302">
        <v>0</v>
      </c>
      <c r="D41" s="302">
        <v>0</v>
      </c>
      <c r="E41" s="302">
        <v>0</v>
      </c>
      <c r="F41" s="302">
        <v>0</v>
      </c>
      <c r="G41" s="304">
        <v>0</v>
      </c>
      <c r="H41" s="302">
        <v>0</v>
      </c>
      <c r="I41" s="304">
        <v>0</v>
      </c>
      <c r="J41" s="302">
        <v>0</v>
      </c>
      <c r="K41" s="304">
        <v>0</v>
      </c>
      <c r="L41" s="304">
        <v>0</v>
      </c>
      <c r="M41" s="302">
        <v>0</v>
      </c>
      <c r="N41" s="304">
        <v>0</v>
      </c>
      <c r="O41" s="385">
        <f>-927*1/1000</f>
        <v>-0.92700000000000005</v>
      </c>
      <c r="P41" s="385">
        <f>5230*1/1000</f>
        <v>5.23</v>
      </c>
      <c r="Q41" s="372" t="s">
        <v>120</v>
      </c>
      <c r="R41" s="385">
        <f>-3170*1/1000</f>
        <v>-3.17</v>
      </c>
      <c r="S41" s="304">
        <v>0</v>
      </c>
      <c r="T41" s="304">
        <v>0</v>
      </c>
      <c r="U41" s="302">
        <v>0</v>
      </c>
      <c r="V41" s="304">
        <v>0</v>
      </c>
      <c r="W41" s="304">
        <v>0</v>
      </c>
      <c r="X41" s="304">
        <v>0</v>
      </c>
      <c r="Y41" s="302">
        <v>0</v>
      </c>
      <c r="Z41" s="304">
        <v>0</v>
      </c>
      <c r="AA41" s="304">
        <v>0</v>
      </c>
      <c r="AB41" s="304">
        <v>0</v>
      </c>
      <c r="AC41" s="302">
        <v>0</v>
      </c>
      <c r="AD41" s="304">
        <v>0</v>
      </c>
      <c r="AE41" s="304">
        <v>0</v>
      </c>
      <c r="AF41" s="304">
        <v>0</v>
      </c>
      <c r="AG41" s="320">
        <v>0</v>
      </c>
      <c r="AH41" s="322">
        <v>0</v>
      </c>
      <c r="AI41" s="322">
        <v>0</v>
      </c>
      <c r="AJ41" s="322">
        <v>0</v>
      </c>
      <c r="AK41" s="320">
        <v>0</v>
      </c>
      <c r="AL41" s="322">
        <v>0</v>
      </c>
      <c r="AM41" s="322">
        <v>0</v>
      </c>
      <c r="AN41" s="322">
        <v>0</v>
      </c>
      <c r="AO41" s="320">
        <v>0</v>
      </c>
      <c r="AP41" s="536">
        <v>0</v>
      </c>
      <c r="AQ41" s="536"/>
      <c r="AR41" s="536"/>
      <c r="AS41" s="320"/>
    </row>
    <row r="42" spans="1:45" s="143" customFormat="1" ht="20.149999999999999" customHeight="1">
      <c r="A42" s="396" t="s">
        <v>866</v>
      </c>
      <c r="B42" s="427" t="s">
        <v>101</v>
      </c>
      <c r="C42" s="302">
        <v>0</v>
      </c>
      <c r="D42" s="302">
        <v>0</v>
      </c>
      <c r="E42" s="302">
        <v>0</v>
      </c>
      <c r="F42" s="302">
        <v>0</v>
      </c>
      <c r="G42" s="304">
        <v>0</v>
      </c>
      <c r="H42" s="302">
        <v>0</v>
      </c>
      <c r="I42" s="304">
        <v>0</v>
      </c>
      <c r="J42" s="302">
        <v>0</v>
      </c>
      <c r="K42" s="304">
        <v>0</v>
      </c>
      <c r="L42" s="304">
        <v>0</v>
      </c>
      <c r="M42" s="302">
        <v>0</v>
      </c>
      <c r="N42" s="304">
        <v>0</v>
      </c>
      <c r="O42" s="385">
        <f>-608*1/1000</f>
        <v>-0.60799999999999998</v>
      </c>
      <c r="P42" s="385">
        <f>3449*1/1000</f>
        <v>3.4489999999999998</v>
      </c>
      <c r="Q42" s="372" t="s">
        <v>120</v>
      </c>
      <c r="R42" s="385">
        <f>2396*1/1000</f>
        <v>2.3959999999999999</v>
      </c>
      <c r="S42" s="304">
        <v>0</v>
      </c>
      <c r="T42" s="304">
        <v>0</v>
      </c>
      <c r="U42" s="302">
        <v>0</v>
      </c>
      <c r="V42" s="304">
        <v>0</v>
      </c>
      <c r="W42" s="304">
        <v>0</v>
      </c>
      <c r="X42" s="304">
        <v>0</v>
      </c>
      <c r="Y42" s="302">
        <v>0</v>
      </c>
      <c r="Z42" s="304">
        <v>0</v>
      </c>
      <c r="AA42" s="304">
        <v>0</v>
      </c>
      <c r="AB42" s="304">
        <v>0</v>
      </c>
      <c r="AC42" s="302">
        <v>0</v>
      </c>
      <c r="AD42" s="304">
        <v>0</v>
      </c>
      <c r="AE42" s="304">
        <v>0</v>
      </c>
      <c r="AF42" s="304">
        <v>0</v>
      </c>
      <c r="AG42" s="320">
        <v>0</v>
      </c>
      <c r="AH42" s="322">
        <v>0</v>
      </c>
      <c r="AI42" s="322">
        <v>0</v>
      </c>
      <c r="AJ42" s="322">
        <v>0</v>
      </c>
      <c r="AK42" s="320">
        <v>0</v>
      </c>
      <c r="AL42" s="322">
        <v>0</v>
      </c>
      <c r="AM42" s="322">
        <v>0</v>
      </c>
      <c r="AN42" s="322">
        <v>0</v>
      </c>
      <c r="AO42" s="320">
        <v>0</v>
      </c>
      <c r="AP42" s="536">
        <v>0</v>
      </c>
      <c r="AQ42" s="536"/>
      <c r="AR42" s="536"/>
      <c r="AS42" s="320"/>
    </row>
    <row r="43" spans="1:45" s="143" customFormat="1" ht="20.149999999999999" customHeight="1">
      <c r="A43" s="396" t="s">
        <v>867</v>
      </c>
      <c r="B43" s="427" t="s">
        <v>826</v>
      </c>
      <c r="C43" s="313" t="s">
        <v>120</v>
      </c>
      <c r="D43" s="313" t="s">
        <v>120</v>
      </c>
      <c r="E43" s="313" t="s">
        <v>120</v>
      </c>
      <c r="F43" s="313" t="s">
        <v>120</v>
      </c>
      <c r="G43" s="314" t="s">
        <v>120</v>
      </c>
      <c r="H43" s="375" t="s">
        <v>120</v>
      </c>
      <c r="I43" s="314" t="s">
        <v>120</v>
      </c>
      <c r="J43" s="375" t="s">
        <v>120</v>
      </c>
      <c r="K43" s="314" t="s">
        <v>120</v>
      </c>
      <c r="L43" s="376" t="s">
        <v>120</v>
      </c>
      <c r="M43" s="372" t="s">
        <v>120</v>
      </c>
      <c r="N43" s="376" t="s">
        <v>120</v>
      </c>
      <c r="O43" s="377" t="s">
        <v>120</v>
      </c>
      <c r="P43" s="377" t="s">
        <v>120</v>
      </c>
      <c r="Q43" s="290">
        <v>9.6110000000000007</v>
      </c>
      <c r="R43" s="376" t="s">
        <v>120</v>
      </c>
      <c r="S43" s="291">
        <f>1225*1/1000</f>
        <v>1.2250000000000001</v>
      </c>
      <c r="T43" s="385">
        <f>-8191*1/1000</f>
        <v>-8.1910000000000007</v>
      </c>
      <c r="U43" s="386">
        <f>-16327*1/1000</f>
        <v>-16.327000000000002</v>
      </c>
      <c r="V43" s="385">
        <f>-17667*1/1000</f>
        <v>-17.667000000000002</v>
      </c>
      <c r="W43" s="385">
        <f>-13285*1/1000</f>
        <v>-13.285</v>
      </c>
      <c r="X43" s="385">
        <f>-11455*1/1000</f>
        <v>-11.455</v>
      </c>
      <c r="Y43" s="386">
        <f>-8964*1/1000</f>
        <v>-8.9640000000000004</v>
      </c>
      <c r="Z43" s="304">
        <v>0</v>
      </c>
      <c r="AA43" s="304">
        <v>0</v>
      </c>
      <c r="AB43" s="387">
        <v>-9.1999999999999993</v>
      </c>
      <c r="AC43" s="388">
        <v>-12.2</v>
      </c>
      <c r="AD43" s="387">
        <v>-12.7</v>
      </c>
      <c r="AE43" s="387">
        <v>-7.9</v>
      </c>
      <c r="AF43" s="387">
        <v>-8.1999999999999993</v>
      </c>
      <c r="AG43" s="299">
        <v>-3.7</v>
      </c>
      <c r="AH43" s="321">
        <v>-1.7</v>
      </c>
      <c r="AI43" s="321">
        <v>0.1</v>
      </c>
      <c r="AJ43" s="321">
        <v>2.2000000000000002</v>
      </c>
      <c r="AK43" s="299">
        <v>4.5</v>
      </c>
      <c r="AL43" s="321">
        <v>3.8</v>
      </c>
      <c r="AM43" s="321">
        <v>3.6</v>
      </c>
      <c r="AN43" s="321">
        <v>3.5</v>
      </c>
      <c r="AO43" s="299">
        <v>3.2</v>
      </c>
      <c r="AP43" s="537">
        <v>2.8</v>
      </c>
      <c r="AQ43" s="537"/>
      <c r="AR43" s="537"/>
      <c r="AS43" s="299"/>
    </row>
    <row r="44" spans="1:45" s="143" customFormat="1" ht="20.149999999999999" customHeight="1" thickBot="1">
      <c r="A44" s="396" t="s">
        <v>1021</v>
      </c>
      <c r="B44" s="427" t="s">
        <v>149</v>
      </c>
      <c r="C44" s="310">
        <f>-94429*1/1000</f>
        <v>-94.429000000000002</v>
      </c>
      <c r="D44" s="310">
        <f>-128937*1/1000</f>
        <v>-128.93700000000001</v>
      </c>
      <c r="E44" s="310">
        <f>-73188*1/1000</f>
        <v>-73.188000000000002</v>
      </c>
      <c r="F44" s="310">
        <f>36733*1/1000</f>
        <v>36.732999999999997</v>
      </c>
      <c r="G44" s="291">
        <f>179696*1/1000</f>
        <v>179.696</v>
      </c>
      <c r="H44" s="290">
        <f>268467*1/1000</f>
        <v>268.46699999999998</v>
      </c>
      <c r="I44" s="291">
        <f>125905*1/1000</f>
        <v>125.905</v>
      </c>
      <c r="J44" s="290">
        <f>227509*1/1000</f>
        <v>227.50899999999999</v>
      </c>
      <c r="K44" s="291">
        <f>145155*1/1000</f>
        <v>145.155</v>
      </c>
      <c r="L44" s="291">
        <f>213548*1/1000</f>
        <v>213.548</v>
      </c>
      <c r="M44" s="290">
        <f>250497*1/1000</f>
        <v>250.49700000000001</v>
      </c>
      <c r="N44" s="291">
        <f>326895*1/1000</f>
        <v>326.89499999999998</v>
      </c>
      <c r="O44" s="291">
        <f>120646*1/1000</f>
        <v>120.646</v>
      </c>
      <c r="P44" s="291">
        <f>58659*1/1000</f>
        <v>58.658999999999999</v>
      </c>
      <c r="Q44" s="290">
        <f>577395*1/1000</f>
        <v>577.39499999999998</v>
      </c>
      <c r="R44" s="291">
        <f>340065*1/1000</f>
        <v>340.065</v>
      </c>
      <c r="S44" s="291">
        <f>882007*1/1000</f>
        <v>882.00699999999995</v>
      </c>
      <c r="T44" s="373">
        <f>1054069*1/1000</f>
        <v>1054.069</v>
      </c>
      <c r="U44" s="380">
        <f>1175693*1/1000</f>
        <v>1175.693</v>
      </c>
      <c r="V44" s="373">
        <f>1270798*1/1000</f>
        <v>1270.798</v>
      </c>
      <c r="W44" s="373">
        <f>1351543*1/1000</f>
        <v>1351.5429999999999</v>
      </c>
      <c r="X44" s="373">
        <f>1527994*1/1000</f>
        <v>1527.9939999999999</v>
      </c>
      <c r="Y44" s="380">
        <f>1701138*1/1000</f>
        <v>1701.1379999999999</v>
      </c>
      <c r="Z44" s="373">
        <f>1799310*1/1000</f>
        <v>1799.31</v>
      </c>
      <c r="AA44" s="382">
        <v>1828.6</v>
      </c>
      <c r="AB44" s="382">
        <v>1876.8</v>
      </c>
      <c r="AC44" s="369">
        <v>1890.8</v>
      </c>
      <c r="AD44" s="382">
        <v>2061.6</v>
      </c>
      <c r="AE44" s="382">
        <v>2366.1</v>
      </c>
      <c r="AF44" s="382">
        <v>2868.6</v>
      </c>
      <c r="AG44" s="299">
        <v>3054.2</v>
      </c>
      <c r="AH44" s="321">
        <v>3229.7</v>
      </c>
      <c r="AI44" s="321">
        <v>3467.4</v>
      </c>
      <c r="AJ44" s="321">
        <v>3745.6</v>
      </c>
      <c r="AK44" s="299">
        <v>4095.5</v>
      </c>
      <c r="AL44" s="321">
        <v>4374.8999999999996</v>
      </c>
      <c r="AM44" s="321">
        <v>4461.3999999999996</v>
      </c>
      <c r="AN44" s="321">
        <v>4704.3</v>
      </c>
      <c r="AO44" s="299">
        <v>4871.3999999999996</v>
      </c>
      <c r="AP44" s="537">
        <v>5668.6</v>
      </c>
      <c r="AQ44" s="537"/>
      <c r="AR44" s="537"/>
      <c r="AS44" s="299"/>
    </row>
    <row r="45" spans="1:45" s="287" customFormat="1" ht="20.149999999999999" customHeight="1" thickBot="1">
      <c r="A45" s="403" t="s">
        <v>868</v>
      </c>
      <c r="B45" s="428" t="s">
        <v>154</v>
      </c>
      <c r="C45" s="404">
        <f t="shared" ref="C45:J45" si="40">SUM(C37:C44)</f>
        <v>-93.929000000000002</v>
      </c>
      <c r="D45" s="404">
        <f t="shared" si="40"/>
        <v>-118.43700000000001</v>
      </c>
      <c r="E45" s="404">
        <f t="shared" si="40"/>
        <v>-62.688000000000002</v>
      </c>
      <c r="F45" s="404">
        <f t="shared" si="40"/>
        <v>61.14</v>
      </c>
      <c r="G45" s="359">
        <f t="shared" si="40"/>
        <v>204.10300000000001</v>
      </c>
      <c r="H45" s="358">
        <f t="shared" si="40"/>
        <v>293.33799999999997</v>
      </c>
      <c r="I45" s="359">
        <f t="shared" si="40"/>
        <v>220.809</v>
      </c>
      <c r="J45" s="358">
        <f t="shared" si="40"/>
        <v>322.41300000000001</v>
      </c>
      <c r="K45" s="359">
        <f t="shared" ref="K45:S45" si="41">SUM(K37:K44)</f>
        <v>322.596</v>
      </c>
      <c r="L45" s="359">
        <f t="shared" si="41"/>
        <v>390.98900000000003</v>
      </c>
      <c r="M45" s="358">
        <f t="shared" si="41"/>
        <v>427.93799999999999</v>
      </c>
      <c r="N45" s="359">
        <f t="shared" si="41"/>
        <v>504.33600000000001</v>
      </c>
      <c r="O45" s="405">
        <f t="shared" si="41"/>
        <v>1870.5870000000002</v>
      </c>
      <c r="P45" s="405">
        <f t="shared" si="41"/>
        <v>1818.8140000000003</v>
      </c>
      <c r="Q45" s="406">
        <f t="shared" si="41"/>
        <v>1896.0430000000001</v>
      </c>
      <c r="R45" s="405">
        <f t="shared" si="41"/>
        <v>2090.7669999999998</v>
      </c>
      <c r="S45" s="405">
        <f t="shared" si="41"/>
        <v>2192.2689999999998</v>
      </c>
      <c r="T45" s="405">
        <f t="shared" ref="T45:X45" si="42">SUM(T37:T44)</f>
        <v>2354.915</v>
      </c>
      <c r="U45" s="406">
        <f t="shared" si="42"/>
        <v>2468.4030000000002</v>
      </c>
      <c r="V45" s="405">
        <f t="shared" si="42"/>
        <v>2562.1680000000001</v>
      </c>
      <c r="W45" s="405">
        <f t="shared" si="42"/>
        <v>2647.2950000000001</v>
      </c>
      <c r="X45" s="405">
        <f t="shared" si="42"/>
        <v>2825.576</v>
      </c>
      <c r="Y45" s="406">
        <f t="shared" ref="Y45:Z45" si="43">SUM(Y37:Y44)</f>
        <v>3001.2110000000002</v>
      </c>
      <c r="Z45" s="405">
        <f t="shared" si="43"/>
        <v>3108.3469999999998</v>
      </c>
      <c r="AA45" s="407">
        <f t="shared" ref="AA45:AG45" si="44">SUM(AA37:AA44)</f>
        <v>9091.7000000000007</v>
      </c>
      <c r="AB45" s="407">
        <f t="shared" si="44"/>
        <v>9130.7000000000007</v>
      </c>
      <c r="AC45" s="408">
        <f t="shared" si="44"/>
        <v>9078.2000000000007</v>
      </c>
      <c r="AD45" s="407">
        <f t="shared" si="44"/>
        <v>9311.9</v>
      </c>
      <c r="AE45" s="407">
        <f t="shared" si="44"/>
        <v>9557.8000000000011</v>
      </c>
      <c r="AF45" s="407">
        <f t="shared" si="44"/>
        <v>10060</v>
      </c>
      <c r="AG45" s="409">
        <f t="shared" si="44"/>
        <v>10250.1</v>
      </c>
      <c r="AH45" s="410">
        <f t="shared" ref="AH45:AK45" si="45">SUM(AH37:AH44)</f>
        <v>10427.6</v>
      </c>
      <c r="AI45" s="410">
        <f t="shared" si="45"/>
        <v>10667.1</v>
      </c>
      <c r="AJ45" s="410">
        <f t="shared" si="45"/>
        <v>10947.4</v>
      </c>
      <c r="AK45" s="409">
        <f t="shared" si="45"/>
        <v>11299.6</v>
      </c>
      <c r="AL45" s="410">
        <f t="shared" ref="AL45:AN45" si="46">SUM(AL37:AL44)</f>
        <v>11578.3</v>
      </c>
      <c r="AM45" s="410">
        <f t="shared" si="46"/>
        <v>11664.6</v>
      </c>
      <c r="AN45" s="410">
        <f t="shared" si="46"/>
        <v>11907.400000000001</v>
      </c>
      <c r="AO45" s="410">
        <f t="shared" ref="AO45" si="47">SUM(AO37:AO44)</f>
        <v>12074.2</v>
      </c>
      <c r="AP45" s="534">
        <f t="shared" ref="AP45:AS45" si="48">SUM(AP37:AP44)</f>
        <v>12871</v>
      </c>
      <c r="AQ45" s="534">
        <f t="shared" si="48"/>
        <v>0</v>
      </c>
      <c r="AR45" s="534">
        <f t="shared" si="48"/>
        <v>0</v>
      </c>
      <c r="AS45" s="410">
        <f t="shared" si="48"/>
        <v>0</v>
      </c>
    </row>
    <row r="46" spans="1:45" s="143" customFormat="1" ht="20.149999999999999" customHeight="1" thickBot="1">
      <c r="A46" s="396" t="s">
        <v>869</v>
      </c>
      <c r="B46" s="427" t="s">
        <v>152</v>
      </c>
      <c r="C46" s="289">
        <f>321*1/1000</f>
        <v>0.32100000000000001</v>
      </c>
      <c r="D46" s="289">
        <f>126*1/1000</f>
        <v>0.126</v>
      </c>
      <c r="E46" s="289">
        <f>70*1/1000</f>
        <v>7.0000000000000007E-2</v>
      </c>
      <c r="F46" s="302">
        <v>0</v>
      </c>
      <c r="G46" s="304">
        <v>0</v>
      </c>
      <c r="H46" s="302">
        <v>0</v>
      </c>
      <c r="I46" s="304">
        <v>0</v>
      </c>
      <c r="J46" s="302">
        <v>0</v>
      </c>
      <c r="K46" s="304">
        <v>0</v>
      </c>
      <c r="L46" s="304">
        <v>0</v>
      </c>
      <c r="M46" s="302">
        <v>0</v>
      </c>
      <c r="N46" s="304">
        <v>0</v>
      </c>
      <c r="O46" s="304">
        <v>0</v>
      </c>
      <c r="P46" s="304">
        <v>0</v>
      </c>
      <c r="Q46" s="302">
        <v>0</v>
      </c>
      <c r="R46" s="304">
        <v>0</v>
      </c>
      <c r="S46" s="304">
        <v>0</v>
      </c>
      <c r="T46" s="304">
        <v>0</v>
      </c>
      <c r="U46" s="302">
        <v>0</v>
      </c>
      <c r="V46" s="304">
        <v>0</v>
      </c>
      <c r="W46" s="304">
        <v>0</v>
      </c>
      <c r="X46" s="152">
        <f>2/1000</f>
        <v>2E-3</v>
      </c>
      <c r="Y46" s="402">
        <f>2/1000</f>
        <v>2E-3</v>
      </c>
      <c r="Z46" s="152">
        <f>2/1000</f>
        <v>2E-3</v>
      </c>
      <c r="AA46" s="304">
        <v>0</v>
      </c>
      <c r="AB46" s="304">
        <v>0</v>
      </c>
      <c r="AC46" s="302">
        <v>0</v>
      </c>
      <c r="AD46" s="304">
        <v>0</v>
      </c>
      <c r="AE46" s="304">
        <v>0</v>
      </c>
      <c r="AF46" s="304">
        <v>0</v>
      </c>
      <c r="AG46" s="320">
        <v>0</v>
      </c>
      <c r="AH46" s="322">
        <v>-22.4</v>
      </c>
      <c r="AI46" s="322">
        <v>94.5</v>
      </c>
      <c r="AJ46" s="322">
        <v>86.1</v>
      </c>
      <c r="AK46" s="320">
        <v>78</v>
      </c>
      <c r="AL46" s="322">
        <v>70</v>
      </c>
      <c r="AM46" s="322">
        <v>60.5</v>
      </c>
      <c r="AN46" s="322">
        <v>52.5</v>
      </c>
      <c r="AO46" s="320">
        <v>42.6</v>
      </c>
      <c r="AP46" s="538">
        <v>34</v>
      </c>
      <c r="AQ46" s="538"/>
      <c r="AR46" s="538"/>
      <c r="AS46" s="320"/>
    </row>
    <row r="47" spans="1:45" s="287" customFormat="1" ht="20.149999999999999" customHeight="1" thickBot="1">
      <c r="A47" s="403" t="s">
        <v>870</v>
      </c>
      <c r="B47" s="428" t="s">
        <v>27</v>
      </c>
      <c r="C47" s="411">
        <f>C45+C46</f>
        <v>-93.608000000000004</v>
      </c>
      <c r="D47" s="411">
        <f t="shared" ref="D47:J47" si="49">D45+D46</f>
        <v>-118.31100000000001</v>
      </c>
      <c r="E47" s="411">
        <f t="shared" si="49"/>
        <v>-62.618000000000002</v>
      </c>
      <c r="F47" s="411">
        <f t="shared" si="49"/>
        <v>61.14</v>
      </c>
      <c r="G47" s="359">
        <f t="shared" si="49"/>
        <v>204.10300000000001</v>
      </c>
      <c r="H47" s="358">
        <f t="shared" si="49"/>
        <v>293.33799999999997</v>
      </c>
      <c r="I47" s="359">
        <f t="shared" si="49"/>
        <v>220.809</v>
      </c>
      <c r="J47" s="358">
        <f t="shared" si="49"/>
        <v>322.41300000000001</v>
      </c>
      <c r="K47" s="359">
        <f t="shared" ref="K47" si="50">K45+K46</f>
        <v>322.596</v>
      </c>
      <c r="L47" s="359">
        <f t="shared" ref="L47" si="51">L45+L46</f>
        <v>390.98900000000003</v>
      </c>
      <c r="M47" s="358">
        <f t="shared" ref="M47" si="52">M45+M46</f>
        <v>427.93799999999999</v>
      </c>
      <c r="N47" s="359">
        <f t="shared" ref="N47" si="53">N45+N46</f>
        <v>504.33600000000001</v>
      </c>
      <c r="O47" s="405">
        <f t="shared" ref="O47" si="54">O45+O46</f>
        <v>1870.5870000000002</v>
      </c>
      <c r="P47" s="405">
        <f t="shared" ref="P47" si="55">P45+P46</f>
        <v>1818.8140000000003</v>
      </c>
      <c r="Q47" s="406">
        <f t="shared" ref="Q47" si="56">Q45+Q46</f>
        <v>1896.0430000000001</v>
      </c>
      <c r="R47" s="405">
        <f t="shared" ref="R47" si="57">R45+R46</f>
        <v>2090.7669999999998</v>
      </c>
      <c r="S47" s="405">
        <f t="shared" ref="S47" si="58">S45+S46</f>
        <v>2192.2689999999998</v>
      </c>
      <c r="T47" s="405">
        <f t="shared" ref="T47" si="59">T45+T46</f>
        <v>2354.915</v>
      </c>
      <c r="U47" s="406">
        <f t="shared" ref="U47:W47" si="60">U45</f>
        <v>2468.4030000000002</v>
      </c>
      <c r="V47" s="405">
        <f t="shared" si="60"/>
        <v>2562.1680000000001</v>
      </c>
      <c r="W47" s="405">
        <f t="shared" si="60"/>
        <v>2647.2950000000001</v>
      </c>
      <c r="X47" s="405">
        <f>SUM(X45:X46)</f>
        <v>2825.578</v>
      </c>
      <c r="Y47" s="406">
        <f t="shared" ref="Y47:AE47" si="61">Y45+Y46</f>
        <v>3001.2130000000002</v>
      </c>
      <c r="Z47" s="405">
        <f t="shared" si="61"/>
        <v>3108.3489999999997</v>
      </c>
      <c r="AA47" s="407">
        <f t="shared" si="61"/>
        <v>9091.7000000000007</v>
      </c>
      <c r="AB47" s="407">
        <f t="shared" si="61"/>
        <v>9130.7000000000007</v>
      </c>
      <c r="AC47" s="408">
        <f t="shared" si="61"/>
        <v>9078.2000000000007</v>
      </c>
      <c r="AD47" s="407">
        <f t="shared" si="61"/>
        <v>9311.9</v>
      </c>
      <c r="AE47" s="407">
        <f t="shared" si="61"/>
        <v>9557.8000000000011</v>
      </c>
      <c r="AF47" s="407">
        <f t="shared" ref="AF47:AH47" si="62">AF45+AF46</f>
        <v>10060</v>
      </c>
      <c r="AG47" s="409">
        <f t="shared" si="62"/>
        <v>10250.1</v>
      </c>
      <c r="AH47" s="410">
        <f t="shared" si="62"/>
        <v>10405.200000000001</v>
      </c>
      <c r="AI47" s="410">
        <f t="shared" ref="AI47:AL47" si="63">AI45+AI46</f>
        <v>10761.6</v>
      </c>
      <c r="AJ47" s="410">
        <f t="shared" si="63"/>
        <v>11033.5</v>
      </c>
      <c r="AK47" s="409">
        <f t="shared" si="63"/>
        <v>11377.6</v>
      </c>
      <c r="AL47" s="410">
        <f t="shared" si="63"/>
        <v>11648.3</v>
      </c>
      <c r="AM47" s="410">
        <f t="shared" ref="AM47:AN47" si="64">AM45+AM46</f>
        <v>11725.1</v>
      </c>
      <c r="AN47" s="410">
        <f t="shared" si="64"/>
        <v>11959.900000000001</v>
      </c>
      <c r="AO47" s="410">
        <f t="shared" ref="AO47" si="65">AO45+AO46</f>
        <v>12116.800000000001</v>
      </c>
      <c r="AP47" s="534">
        <f t="shared" ref="AP47:AS47" si="66">AP45+AP46</f>
        <v>12905</v>
      </c>
      <c r="AQ47" s="534">
        <f t="shared" si="66"/>
        <v>0</v>
      </c>
      <c r="AR47" s="534">
        <f t="shared" si="66"/>
        <v>0</v>
      </c>
      <c r="AS47" s="410">
        <f t="shared" si="66"/>
        <v>0</v>
      </c>
    </row>
    <row r="48" spans="1:45" s="143" customFormat="1" ht="20.149999999999999" customHeight="1">
      <c r="A48" s="396" t="s">
        <v>871</v>
      </c>
      <c r="B48" s="427" t="s">
        <v>28</v>
      </c>
      <c r="C48" s="289">
        <f>198263*1/1000</f>
        <v>198.26300000000001</v>
      </c>
      <c r="D48" s="302">
        <v>0</v>
      </c>
      <c r="E48" s="335">
        <f>29240*1/1000</f>
        <v>29.24</v>
      </c>
      <c r="F48" s="290">
        <f>132226*1/1000</f>
        <v>132.226</v>
      </c>
      <c r="G48" s="291">
        <f>73747*1/1000</f>
        <v>73.747</v>
      </c>
      <c r="H48" s="290">
        <f>44135*1/1000</f>
        <v>44.134999999999998</v>
      </c>
      <c r="I48" s="291">
        <f>15054*1/1000</f>
        <v>15.054</v>
      </c>
      <c r="J48" s="302">
        <v>0</v>
      </c>
      <c r="K48" s="304">
        <v>0</v>
      </c>
      <c r="L48" s="304">
        <v>0</v>
      </c>
      <c r="M48" s="302">
        <v>0</v>
      </c>
      <c r="N48" s="304">
        <v>0</v>
      </c>
      <c r="O48" s="291">
        <f>1061912*1/1000</f>
        <v>1061.912</v>
      </c>
      <c r="P48" s="291">
        <f>1018123*1/1000</f>
        <v>1018.123</v>
      </c>
      <c r="Q48" s="290">
        <f>958407*1/1000</f>
        <v>958.40700000000004</v>
      </c>
      <c r="R48" s="291">
        <f>932068*1/1000</f>
        <v>932.06799999999998</v>
      </c>
      <c r="S48" s="291">
        <f>889155*1/1000</f>
        <v>889.15499999999997</v>
      </c>
      <c r="T48" s="150">
        <f>680371*1/1000</f>
        <v>680.37099999999998</v>
      </c>
      <c r="U48" s="367">
        <f>592003*1/1000</f>
        <v>592.00300000000004</v>
      </c>
      <c r="V48" s="368">
        <f>572819*1/1000</f>
        <v>572.81899999999996</v>
      </c>
      <c r="W48" s="368">
        <f>422858*1/1000</f>
        <v>422.858</v>
      </c>
      <c r="X48" s="368">
        <f>329798*1/1000</f>
        <v>329.798</v>
      </c>
      <c r="Y48" s="367">
        <f>239889*1/1000</f>
        <v>239.88900000000001</v>
      </c>
      <c r="Z48" s="368">
        <f>236277*1/1000</f>
        <v>236.27699999999999</v>
      </c>
      <c r="AA48" s="296">
        <v>8446.1</v>
      </c>
      <c r="AB48" s="296">
        <v>7976.3</v>
      </c>
      <c r="AC48" s="369">
        <v>7683.5</v>
      </c>
      <c r="AD48" s="382">
        <v>7357.9</v>
      </c>
      <c r="AE48" s="382">
        <v>7034.6</v>
      </c>
      <c r="AF48" s="296">
        <v>5644.9</v>
      </c>
      <c r="AG48" s="299">
        <v>5379.8</v>
      </c>
      <c r="AH48" s="321">
        <v>9982.1</v>
      </c>
      <c r="AI48" s="321">
        <v>9752</v>
      </c>
      <c r="AJ48" s="321">
        <v>9530.2999999999993</v>
      </c>
      <c r="AK48" s="299">
        <v>9302.7000000000007</v>
      </c>
      <c r="AL48" s="321">
        <v>9056</v>
      </c>
      <c r="AM48" s="321">
        <v>8808.6</v>
      </c>
      <c r="AN48" s="321">
        <v>8561.9</v>
      </c>
      <c r="AO48" s="299">
        <v>9291.4</v>
      </c>
      <c r="AP48" s="537">
        <v>9474.7000000000007</v>
      </c>
      <c r="AQ48" s="537"/>
      <c r="AR48" s="537"/>
      <c r="AS48" s="299"/>
    </row>
    <row r="49" spans="1:45" s="143" customFormat="1" ht="20.149999999999999" customHeight="1">
      <c r="A49" s="396" t="s">
        <v>872</v>
      </c>
      <c r="B49" s="427" t="s">
        <v>174</v>
      </c>
      <c r="C49" s="302">
        <v>0</v>
      </c>
      <c r="D49" s="302">
        <v>0</v>
      </c>
      <c r="E49" s="302">
        <v>0</v>
      </c>
      <c r="F49" s="302">
        <v>0</v>
      </c>
      <c r="G49" s="304">
        <v>0</v>
      </c>
      <c r="H49" s="302">
        <v>0</v>
      </c>
      <c r="I49" s="304">
        <v>0</v>
      </c>
      <c r="J49" s="302">
        <v>0</v>
      </c>
      <c r="K49" s="304">
        <v>0</v>
      </c>
      <c r="L49" s="304">
        <v>0</v>
      </c>
      <c r="M49" s="302">
        <v>0</v>
      </c>
      <c r="N49" s="304">
        <v>0</v>
      </c>
      <c r="O49" s="291">
        <f>1277148*1/1000</f>
        <v>1277.1479999999999</v>
      </c>
      <c r="P49" s="291">
        <f>1439935*1/1000</f>
        <v>1439.9349999999999</v>
      </c>
      <c r="Q49" s="290">
        <f>1417525*1/1000</f>
        <v>1417.5250000000001</v>
      </c>
      <c r="R49" s="291">
        <f>1360637*1/1000</f>
        <v>1360.6369999999999</v>
      </c>
      <c r="S49" s="291">
        <f>1369593*1/1000</f>
        <v>1369.5930000000001</v>
      </c>
      <c r="T49" s="150">
        <f>1347224*1/1000</f>
        <v>1347.2239999999999</v>
      </c>
      <c r="U49" s="367">
        <f>1316479*1/1000</f>
        <v>1316.479</v>
      </c>
      <c r="V49" s="368">
        <f>1370119*1/1000</f>
        <v>1370.1189999999999</v>
      </c>
      <c r="W49" s="368">
        <f>1395972*1/1000</f>
        <v>1395.972</v>
      </c>
      <c r="X49" s="368">
        <f>1385314*1/1000</f>
        <v>1385.3140000000001</v>
      </c>
      <c r="Y49" s="380">
        <f>1340010*1/1000</f>
        <v>1340.01</v>
      </c>
      <c r="Z49" s="368">
        <f>1396071*1/1000</f>
        <v>1396.0709999999999</v>
      </c>
      <c r="AA49" s="296">
        <v>4286.8999999999996</v>
      </c>
      <c r="AB49" s="296">
        <v>4302.1000000000004</v>
      </c>
      <c r="AC49" s="369">
        <v>4550.2</v>
      </c>
      <c r="AD49" s="382">
        <v>4470</v>
      </c>
      <c r="AE49" s="382">
        <v>4582.5</v>
      </c>
      <c r="AF49" s="296">
        <v>964.4</v>
      </c>
      <c r="AG49" s="299">
        <v>975.3</v>
      </c>
      <c r="AH49" s="321">
        <v>2252.6</v>
      </c>
      <c r="AI49" s="321">
        <v>1795.1</v>
      </c>
      <c r="AJ49" s="321">
        <v>1805.1</v>
      </c>
      <c r="AK49" s="299">
        <v>1835.7</v>
      </c>
      <c r="AL49" s="321">
        <v>964.9</v>
      </c>
      <c r="AM49" s="321">
        <v>975.3</v>
      </c>
      <c r="AN49" s="321">
        <v>965.2</v>
      </c>
      <c r="AO49" s="299">
        <v>975.7</v>
      </c>
      <c r="AP49" s="537">
        <v>965.2</v>
      </c>
      <c r="AQ49" s="537"/>
      <c r="AR49" s="537"/>
      <c r="AS49" s="299"/>
    </row>
    <row r="50" spans="1:45" s="143" customFormat="1" ht="20.149999999999999" customHeight="1">
      <c r="A50" s="396" t="s">
        <v>873</v>
      </c>
      <c r="B50" s="427" t="s">
        <v>29</v>
      </c>
      <c r="C50" s="302">
        <v>0</v>
      </c>
      <c r="D50" s="302">
        <v>0</v>
      </c>
      <c r="E50" s="289">
        <f>893*1/1000</f>
        <v>0.89300000000000002</v>
      </c>
      <c r="F50" s="290">
        <f>1412*1/1000</f>
        <v>1.4119999999999999</v>
      </c>
      <c r="G50" s="291">
        <f>1227*1/1000</f>
        <v>1.2270000000000001</v>
      </c>
      <c r="H50" s="290">
        <f>1407*1/1000</f>
        <v>1.407</v>
      </c>
      <c r="I50" s="291">
        <f>1380*1/1000</f>
        <v>1.38</v>
      </c>
      <c r="J50" s="290">
        <f>1151*1/1000</f>
        <v>1.151</v>
      </c>
      <c r="K50" s="291">
        <f>1580*1/1000</f>
        <v>1.58</v>
      </c>
      <c r="L50" s="291">
        <f>1246*1/1000</f>
        <v>1.246</v>
      </c>
      <c r="M50" s="290">
        <f>1095*1/1000</f>
        <v>1.095</v>
      </c>
      <c r="N50" s="291">
        <f>1029*1/1000</f>
        <v>1.0289999999999999</v>
      </c>
      <c r="O50" s="291">
        <f>1103*1/1000</f>
        <v>1.103</v>
      </c>
      <c r="P50" s="291">
        <f>1032*1/1000</f>
        <v>1.032</v>
      </c>
      <c r="Q50" s="290">
        <f>934*1/1000</f>
        <v>0.93400000000000005</v>
      </c>
      <c r="R50" s="291">
        <f>810*1/1000</f>
        <v>0.81</v>
      </c>
      <c r="S50" s="291">
        <f>741*1/1000</f>
        <v>0.74099999999999999</v>
      </c>
      <c r="T50" s="150">
        <f>638*1/1000</f>
        <v>0.63800000000000001</v>
      </c>
      <c r="U50" s="367">
        <f>551*1/1000</f>
        <v>0.55100000000000005</v>
      </c>
      <c r="V50" s="368">
        <f>474*1/1000</f>
        <v>0.47399999999999998</v>
      </c>
      <c r="W50" s="368">
        <f>424*1/1000</f>
        <v>0.42399999999999999</v>
      </c>
      <c r="X50" s="368">
        <f>306*1/1000</f>
        <v>0.30599999999999999</v>
      </c>
      <c r="Y50" s="367">
        <f>227*1/1000</f>
        <v>0.22700000000000001</v>
      </c>
      <c r="Z50" s="368">
        <f>166*1/1000</f>
        <v>0.16600000000000001</v>
      </c>
      <c r="AA50" s="301">
        <v>4.5</v>
      </c>
      <c r="AB50" s="301">
        <v>7.9</v>
      </c>
      <c r="AC50" s="369">
        <v>11.7</v>
      </c>
      <c r="AD50" s="370">
        <v>13.4</v>
      </c>
      <c r="AE50" s="370">
        <v>15.7</v>
      </c>
      <c r="AF50" s="301">
        <v>21.3</v>
      </c>
      <c r="AG50" s="299">
        <v>20.9</v>
      </c>
      <c r="AH50" s="300">
        <v>21.2</v>
      </c>
      <c r="AI50" s="300">
        <v>23.3</v>
      </c>
      <c r="AJ50" s="300">
        <v>22.1</v>
      </c>
      <c r="AK50" s="299">
        <v>20.9</v>
      </c>
      <c r="AL50" s="300">
        <v>22.6</v>
      </c>
      <c r="AM50" s="300">
        <v>21.4</v>
      </c>
      <c r="AN50" s="300">
        <v>19.399999999999999</v>
      </c>
      <c r="AO50" s="299">
        <v>18.600000000000001</v>
      </c>
      <c r="AP50" s="529">
        <v>17.3</v>
      </c>
      <c r="AQ50" s="529"/>
      <c r="AR50" s="529"/>
      <c r="AS50" s="299"/>
    </row>
    <row r="51" spans="1:45" s="143" customFormat="1" ht="20.149999999999999" customHeight="1">
      <c r="A51" s="396" t="s">
        <v>874</v>
      </c>
      <c r="B51" s="427" t="s">
        <v>777</v>
      </c>
      <c r="C51" s="302">
        <v>0</v>
      </c>
      <c r="D51" s="302">
        <v>0</v>
      </c>
      <c r="E51" s="389">
        <v>0</v>
      </c>
      <c r="F51" s="390">
        <v>0</v>
      </c>
      <c r="G51" s="321">
        <v>0</v>
      </c>
      <c r="H51" s="390">
        <v>0</v>
      </c>
      <c r="I51" s="321">
        <v>0</v>
      </c>
      <c r="J51" s="390">
        <v>0</v>
      </c>
      <c r="K51" s="321">
        <v>0</v>
      </c>
      <c r="L51" s="300">
        <v>0</v>
      </c>
      <c r="M51" s="299">
        <v>0</v>
      </c>
      <c r="N51" s="300">
        <v>0</v>
      </c>
      <c r="O51" s="300">
        <v>0</v>
      </c>
      <c r="P51" s="300">
        <v>0</v>
      </c>
      <c r="Q51" s="299">
        <v>0</v>
      </c>
      <c r="R51" s="300">
        <v>0</v>
      </c>
      <c r="S51" s="300">
        <v>0</v>
      </c>
      <c r="T51" s="300">
        <v>0</v>
      </c>
      <c r="U51" s="299">
        <v>0</v>
      </c>
      <c r="V51" s="300">
        <v>0</v>
      </c>
      <c r="W51" s="300">
        <v>0</v>
      </c>
      <c r="X51" s="300">
        <v>0</v>
      </c>
      <c r="Y51" s="299">
        <v>0</v>
      </c>
      <c r="Z51" s="300">
        <v>0</v>
      </c>
      <c r="AA51" s="301">
        <v>835.8</v>
      </c>
      <c r="AB51" s="301">
        <v>730.2</v>
      </c>
      <c r="AC51" s="369">
        <v>750.3</v>
      </c>
      <c r="AD51" s="370">
        <v>724.4</v>
      </c>
      <c r="AE51" s="370">
        <v>747.9</v>
      </c>
      <c r="AF51" s="301">
        <v>645.1</v>
      </c>
      <c r="AG51" s="299">
        <v>652.79999999999995</v>
      </c>
      <c r="AH51" s="300">
        <v>658</v>
      </c>
      <c r="AI51" s="300">
        <v>686.7</v>
      </c>
      <c r="AJ51" s="300">
        <v>555.79999999999995</v>
      </c>
      <c r="AK51" s="299">
        <v>574</v>
      </c>
      <c r="AL51" s="300">
        <v>551</v>
      </c>
      <c r="AM51" s="300">
        <v>555.4</v>
      </c>
      <c r="AN51" s="300">
        <v>452.4</v>
      </c>
      <c r="AO51" s="299">
        <v>440.8</v>
      </c>
      <c r="AP51" s="529">
        <v>447.6</v>
      </c>
      <c r="AQ51" s="529"/>
      <c r="AR51" s="529"/>
      <c r="AS51" s="299"/>
    </row>
    <row r="52" spans="1:45" s="143" customFormat="1" ht="20.149999999999999" customHeight="1">
      <c r="A52" s="396" t="s">
        <v>875</v>
      </c>
      <c r="B52" s="427" t="s">
        <v>30</v>
      </c>
      <c r="C52" s="289">
        <f>8543*1/1000</f>
        <v>8.5429999999999993</v>
      </c>
      <c r="D52" s="302">
        <v>0</v>
      </c>
      <c r="E52" s="289">
        <f>22*1/1000</f>
        <v>2.1999999999999999E-2</v>
      </c>
      <c r="F52" s="289">
        <f>671*1/1000</f>
        <v>0.67100000000000004</v>
      </c>
      <c r="G52" s="291">
        <f>5029*1/1000</f>
        <v>5.0289999999999999</v>
      </c>
      <c r="H52" s="290">
        <f>11536*1/1000</f>
        <v>11.536</v>
      </c>
      <c r="I52" s="291">
        <f>11980*1/1000</f>
        <v>11.98</v>
      </c>
      <c r="J52" s="290">
        <f>26060*1/1000</f>
        <v>26.06</v>
      </c>
      <c r="K52" s="291">
        <f>56863*1/1000</f>
        <v>56.863</v>
      </c>
      <c r="L52" s="291">
        <f>63455*1/1000</f>
        <v>63.454999999999998</v>
      </c>
      <c r="M52" s="290">
        <f>65338*1/1000</f>
        <v>65.337999999999994</v>
      </c>
      <c r="N52" s="291">
        <f>73846*1/1000</f>
        <v>73.846000000000004</v>
      </c>
      <c r="O52" s="291">
        <f>86665*1/1000</f>
        <v>86.665000000000006</v>
      </c>
      <c r="P52" s="291">
        <f>63474*1/1000</f>
        <v>63.473999999999997</v>
      </c>
      <c r="Q52" s="290">
        <f>87122*1/1000</f>
        <v>87.122</v>
      </c>
      <c r="R52" s="291">
        <f>87307*1/1000</f>
        <v>87.307000000000002</v>
      </c>
      <c r="S52" s="291">
        <f>88480*1/1000</f>
        <v>88.48</v>
      </c>
      <c r="T52" s="291">
        <f>97271*1/1000</f>
        <v>97.271000000000001</v>
      </c>
      <c r="U52" s="367">
        <f>94258*1/1000</f>
        <v>94.257999999999996</v>
      </c>
      <c r="V52" s="368">
        <f>93487*1/1000</f>
        <v>93.486999999999995</v>
      </c>
      <c r="W52" s="368">
        <f>93150*1/1000</f>
        <v>93.15</v>
      </c>
      <c r="X52" s="368">
        <f>98799*1/1000</f>
        <v>98.799000000000007</v>
      </c>
      <c r="Y52" s="367">
        <f>108066*1/1000</f>
        <v>108.066</v>
      </c>
      <c r="Z52" s="368">
        <f>95950*1/1000</f>
        <v>95.95</v>
      </c>
      <c r="AA52" s="296">
        <v>1010.7</v>
      </c>
      <c r="AB52" s="296">
        <v>1038.8</v>
      </c>
      <c r="AC52" s="369">
        <v>908.7</v>
      </c>
      <c r="AD52" s="370">
        <v>888.6</v>
      </c>
      <c r="AE52" s="370">
        <v>821.1</v>
      </c>
      <c r="AF52" s="296">
        <v>770.4</v>
      </c>
      <c r="AG52" s="299">
        <v>615.79999999999995</v>
      </c>
      <c r="AH52" s="300">
        <v>694.4</v>
      </c>
      <c r="AI52" s="300">
        <v>889.1</v>
      </c>
      <c r="AJ52" s="300">
        <v>923.2</v>
      </c>
      <c r="AK52" s="299">
        <v>786.9</v>
      </c>
      <c r="AL52" s="300">
        <v>812.3</v>
      </c>
      <c r="AM52" s="300">
        <v>775.7</v>
      </c>
      <c r="AN52" s="300">
        <v>771.8</v>
      </c>
      <c r="AO52" s="299">
        <v>879.8</v>
      </c>
      <c r="AP52" s="529">
        <v>1034.8</v>
      </c>
      <c r="AQ52" s="529"/>
      <c r="AR52" s="529"/>
      <c r="AS52" s="299"/>
    </row>
    <row r="53" spans="1:45" s="143" customFormat="1" ht="20.149999999999999" customHeight="1">
      <c r="A53" s="396" t="s">
        <v>876</v>
      </c>
      <c r="B53" s="427" t="s">
        <v>827</v>
      </c>
      <c r="C53" s="313" t="s">
        <v>126</v>
      </c>
      <c r="D53" s="313" t="s">
        <v>126</v>
      </c>
      <c r="E53" s="313" t="s">
        <v>126</v>
      </c>
      <c r="F53" s="313" t="s">
        <v>126</v>
      </c>
      <c r="G53" s="391" t="s">
        <v>126</v>
      </c>
      <c r="H53" s="313" t="s">
        <v>126</v>
      </c>
      <c r="I53" s="391" t="s">
        <v>126</v>
      </c>
      <c r="J53" s="313" t="s">
        <v>126</v>
      </c>
      <c r="K53" s="391" t="s">
        <v>126</v>
      </c>
      <c r="L53" s="391" t="s">
        <v>126</v>
      </c>
      <c r="M53" s="313" t="s">
        <v>126</v>
      </c>
      <c r="N53" s="391" t="s">
        <v>126</v>
      </c>
      <c r="O53" s="391" t="s">
        <v>126</v>
      </c>
      <c r="P53" s="391" t="s">
        <v>126</v>
      </c>
      <c r="Q53" s="290">
        <f>7595*1/1000</f>
        <v>7.5949999999999998</v>
      </c>
      <c r="R53" s="376" t="s">
        <v>126</v>
      </c>
      <c r="S53" s="291">
        <f>6285*1/1000</f>
        <v>6.2850000000000001</v>
      </c>
      <c r="T53" s="291">
        <f>5716*1/1000</f>
        <v>5.7160000000000002</v>
      </c>
      <c r="U53" s="367">
        <f>5181*1/1000</f>
        <v>5.181</v>
      </c>
      <c r="V53" s="368">
        <f>4978*1/1000</f>
        <v>4.9779999999999998</v>
      </c>
      <c r="W53" s="368">
        <f>4754*1/1000</f>
        <v>4.7539999999999996</v>
      </c>
      <c r="X53" s="368">
        <f>4303*1/1000</f>
        <v>4.3029999999999999</v>
      </c>
      <c r="Y53" s="367">
        <f>4079*1/1000</f>
        <v>4.0789999999999997</v>
      </c>
      <c r="Z53" s="368">
        <f>3008*1/1000</f>
        <v>3.008</v>
      </c>
      <c r="AA53" s="301">
        <v>2.8</v>
      </c>
      <c r="AB53" s="301">
        <v>3.9</v>
      </c>
      <c r="AC53" s="369">
        <v>4.7</v>
      </c>
      <c r="AD53" s="370">
        <v>5.5</v>
      </c>
      <c r="AE53" s="370">
        <v>5</v>
      </c>
      <c r="AF53" s="301">
        <v>4.5</v>
      </c>
      <c r="AG53" s="299">
        <v>4.7</v>
      </c>
      <c r="AH53" s="300">
        <v>22.1</v>
      </c>
      <c r="AI53" s="300">
        <v>21</v>
      </c>
      <c r="AJ53" s="300">
        <v>20.100000000000001</v>
      </c>
      <c r="AK53" s="299">
        <v>20.100000000000001</v>
      </c>
      <c r="AL53" s="300">
        <v>4</v>
      </c>
      <c r="AM53" s="300">
        <v>3.8</v>
      </c>
      <c r="AN53" s="300">
        <v>3.4</v>
      </c>
      <c r="AO53" s="299">
        <v>3.2</v>
      </c>
      <c r="AP53" s="529">
        <v>0</v>
      </c>
      <c r="AQ53" s="529"/>
      <c r="AR53" s="529"/>
      <c r="AS53" s="299"/>
    </row>
    <row r="54" spans="1:45" s="143" customFormat="1" ht="20.149999999999999" customHeight="1">
      <c r="A54" s="396" t="s">
        <v>877</v>
      </c>
      <c r="B54" s="427" t="s">
        <v>31</v>
      </c>
      <c r="C54" s="289">
        <f>4048*1/1000</f>
        <v>4.048</v>
      </c>
      <c r="D54" s="289">
        <f>1898*1/1000</f>
        <v>1.8979999999999999</v>
      </c>
      <c r="E54" s="289">
        <f>564*1/1000</f>
        <v>0.56399999999999995</v>
      </c>
      <c r="F54" s="289">
        <f>605*1/1000</f>
        <v>0.60499999999999998</v>
      </c>
      <c r="G54" s="291">
        <f>243*1/1000</f>
        <v>0.24299999999999999</v>
      </c>
      <c r="H54" s="289">
        <f>269*1/1000</f>
        <v>0.26900000000000002</v>
      </c>
      <c r="I54" s="291">
        <f>489*1/1000</f>
        <v>0.48899999999999999</v>
      </c>
      <c r="J54" s="290">
        <f>1543*1/1000</f>
        <v>1.5429999999999999</v>
      </c>
      <c r="K54" s="291">
        <f>2446*1/1000</f>
        <v>2.4460000000000002</v>
      </c>
      <c r="L54" s="291">
        <f>2441*1/1000</f>
        <v>2.4409999999999998</v>
      </c>
      <c r="M54" s="290">
        <f>2384*1/1000</f>
        <v>2.3839999999999999</v>
      </c>
      <c r="N54" s="291">
        <f>2317*1/1000</f>
        <v>2.3170000000000002</v>
      </c>
      <c r="O54" s="291">
        <f>11108*1/1000</f>
        <v>11.108000000000001</v>
      </c>
      <c r="P54" s="291">
        <f>12002*1/1000</f>
        <v>12.002000000000001</v>
      </c>
      <c r="Q54" s="290">
        <f>12497*1/1000</f>
        <v>12.497</v>
      </c>
      <c r="R54" s="291">
        <f>13779*1/1000</f>
        <v>13.779</v>
      </c>
      <c r="S54" s="291">
        <f>17835*1/1000</f>
        <v>17.835000000000001</v>
      </c>
      <c r="T54" s="291">
        <f>19037*1/1000</f>
        <v>19.036999999999999</v>
      </c>
      <c r="U54" s="367">
        <f>17690*1/1000</f>
        <v>17.690000000000001</v>
      </c>
      <c r="V54" s="368">
        <f>17684*1/1000</f>
        <v>17.684000000000001</v>
      </c>
      <c r="W54" s="368">
        <f>10154*1/1000</f>
        <v>10.154</v>
      </c>
      <c r="X54" s="368">
        <f>8594*1/1000</f>
        <v>8.5939999999999994</v>
      </c>
      <c r="Y54" s="367">
        <f>7915*1/1000</f>
        <v>7.915</v>
      </c>
      <c r="Z54" s="368">
        <f>7828*1/1000</f>
        <v>7.8280000000000003</v>
      </c>
      <c r="AA54" s="301">
        <v>158.19999999999999</v>
      </c>
      <c r="AB54" s="301">
        <v>164.6</v>
      </c>
      <c r="AC54" s="369">
        <v>184.2</v>
      </c>
      <c r="AD54" s="370">
        <v>167.4</v>
      </c>
      <c r="AE54" s="370">
        <v>132.4</v>
      </c>
      <c r="AF54" s="301">
        <v>133.1</v>
      </c>
      <c r="AG54" s="299">
        <v>124.2</v>
      </c>
      <c r="AH54" s="300">
        <v>157.30000000000001</v>
      </c>
      <c r="AI54" s="300">
        <v>148.9</v>
      </c>
      <c r="AJ54" s="300">
        <v>148.19999999999999</v>
      </c>
      <c r="AK54" s="299">
        <v>130.19999999999999</v>
      </c>
      <c r="AL54" s="300">
        <v>128.1</v>
      </c>
      <c r="AM54" s="300">
        <v>122</v>
      </c>
      <c r="AN54" s="300">
        <v>122.2</v>
      </c>
      <c r="AO54" s="299">
        <v>114.2</v>
      </c>
      <c r="AP54" s="529">
        <v>122.4</v>
      </c>
      <c r="AQ54" s="529"/>
      <c r="AR54" s="529"/>
      <c r="AS54" s="299"/>
    </row>
    <row r="55" spans="1:45" s="334" customFormat="1" ht="20.149999999999999" customHeight="1" thickBot="1">
      <c r="A55" s="397" t="s">
        <v>878</v>
      </c>
      <c r="B55" s="324" t="s">
        <v>740</v>
      </c>
      <c r="C55" s="325">
        <v>0</v>
      </c>
      <c r="D55" s="325">
        <v>0</v>
      </c>
      <c r="E55" s="325">
        <v>0</v>
      </c>
      <c r="F55" s="325">
        <v>0</v>
      </c>
      <c r="G55" s="327">
        <v>0</v>
      </c>
      <c r="H55" s="325">
        <v>0</v>
      </c>
      <c r="I55" s="327">
        <v>0</v>
      </c>
      <c r="J55" s="326">
        <v>0</v>
      </c>
      <c r="K55" s="327">
        <v>0</v>
      </c>
      <c r="L55" s="327">
        <v>0</v>
      </c>
      <c r="M55" s="326">
        <v>0</v>
      </c>
      <c r="N55" s="327">
        <v>0</v>
      </c>
      <c r="O55" s="327">
        <v>0</v>
      </c>
      <c r="P55" s="327">
        <v>0</v>
      </c>
      <c r="Q55" s="326">
        <v>0</v>
      </c>
      <c r="R55" s="327">
        <v>0</v>
      </c>
      <c r="S55" s="327">
        <v>0</v>
      </c>
      <c r="T55" s="327">
        <v>0</v>
      </c>
      <c r="U55" s="330">
        <v>0</v>
      </c>
      <c r="V55" s="329">
        <v>0</v>
      </c>
      <c r="W55" s="329">
        <v>0</v>
      </c>
      <c r="X55" s="329">
        <v>0</v>
      </c>
      <c r="Y55" s="330">
        <v>0</v>
      </c>
      <c r="Z55" s="329">
        <v>0</v>
      </c>
      <c r="AA55" s="331">
        <v>0</v>
      </c>
      <c r="AB55" s="331">
        <v>0</v>
      </c>
      <c r="AC55" s="392">
        <v>40.1</v>
      </c>
      <c r="AD55" s="393">
        <v>22.6</v>
      </c>
      <c r="AE55" s="393">
        <v>2</v>
      </c>
      <c r="AF55" s="346">
        <v>1.9</v>
      </c>
      <c r="AG55" s="320">
        <v>0</v>
      </c>
      <c r="AH55" s="329">
        <v>1.1000000000000001</v>
      </c>
      <c r="AI55" s="329">
        <v>0.9</v>
      </c>
      <c r="AJ55" s="329">
        <v>0</v>
      </c>
      <c r="AK55" s="320">
        <v>0</v>
      </c>
      <c r="AL55" s="329">
        <v>1.5</v>
      </c>
      <c r="AM55" s="329">
        <v>1.7</v>
      </c>
      <c r="AN55" s="329">
        <v>1.3</v>
      </c>
      <c r="AO55" s="320">
        <v>0</v>
      </c>
      <c r="AP55" s="532">
        <v>2.2000000000000002</v>
      </c>
      <c r="AQ55" s="532"/>
      <c r="AR55" s="532"/>
      <c r="AS55" s="320"/>
    </row>
    <row r="56" spans="1:45" s="287" customFormat="1" ht="20.149999999999999" customHeight="1" thickBot="1">
      <c r="A56" s="403" t="s">
        <v>879</v>
      </c>
      <c r="B56" s="428" t="s">
        <v>32</v>
      </c>
      <c r="C56" s="358">
        <f>SUM(C48:C54)</f>
        <v>210.85400000000001</v>
      </c>
      <c r="D56" s="358">
        <f>SUM(D48:D55)</f>
        <v>1.8979999999999999</v>
      </c>
      <c r="E56" s="358">
        <f t="shared" ref="E56:J56" si="67">SUM(E48:E54)</f>
        <v>30.718999999999998</v>
      </c>
      <c r="F56" s="358">
        <f t="shared" si="67"/>
        <v>134.91399999999999</v>
      </c>
      <c r="G56" s="359">
        <f t="shared" si="67"/>
        <v>80.245999999999995</v>
      </c>
      <c r="H56" s="358">
        <f t="shared" si="67"/>
        <v>57.347000000000001</v>
      </c>
      <c r="I56" s="359">
        <f t="shared" si="67"/>
        <v>28.903000000000002</v>
      </c>
      <c r="J56" s="358">
        <f t="shared" si="67"/>
        <v>28.753999999999998</v>
      </c>
      <c r="K56" s="359">
        <f t="shared" ref="K56" si="68">SUM(K48:K54)</f>
        <v>60.888999999999996</v>
      </c>
      <c r="L56" s="359">
        <f t="shared" ref="L56" si="69">SUM(L48:L54)</f>
        <v>67.141999999999996</v>
      </c>
      <c r="M56" s="358">
        <f t="shared" ref="M56" si="70">SUM(M48:M54)</f>
        <v>68.816999999999993</v>
      </c>
      <c r="N56" s="359">
        <f t="shared" ref="N56" si="71">SUM(N48:N54)</f>
        <v>77.192000000000007</v>
      </c>
      <c r="O56" s="405">
        <f t="shared" ref="O56" si="72">SUM(O48:O54)</f>
        <v>2437.9360000000001</v>
      </c>
      <c r="P56" s="405">
        <f t="shared" ref="P56" si="73">SUM(P48:P54)</f>
        <v>2534.5660000000003</v>
      </c>
      <c r="Q56" s="406">
        <f t="shared" ref="Q56" si="74">SUM(Q48:Q54)</f>
        <v>2484.08</v>
      </c>
      <c r="R56" s="405">
        <f t="shared" ref="R56" si="75">SUM(R48:R54)</f>
        <v>2394.6009999999997</v>
      </c>
      <c r="S56" s="405">
        <f t="shared" ref="S56" si="76">SUM(S48:S54)</f>
        <v>2372.0889999999999</v>
      </c>
      <c r="T56" s="405">
        <f t="shared" ref="T56" si="77">SUM(T48:T54)</f>
        <v>2150.2569999999996</v>
      </c>
      <c r="U56" s="406">
        <f t="shared" ref="U56:X56" si="78">SUM(U48:U54)</f>
        <v>2026.162</v>
      </c>
      <c r="V56" s="405">
        <f t="shared" si="78"/>
        <v>2059.5610000000001</v>
      </c>
      <c r="W56" s="405">
        <f t="shared" si="78"/>
        <v>1927.3119999999999</v>
      </c>
      <c r="X56" s="405">
        <f t="shared" si="78"/>
        <v>1827.1140000000003</v>
      </c>
      <c r="Y56" s="406">
        <f t="shared" ref="Y56:Z56" si="79">SUM(Y48:Y54)</f>
        <v>1700.1859999999999</v>
      </c>
      <c r="Z56" s="405">
        <f t="shared" si="79"/>
        <v>1739.3</v>
      </c>
      <c r="AA56" s="362">
        <f>SUM(AA48:AA55)</f>
        <v>14745</v>
      </c>
      <c r="AB56" s="362">
        <f>SUM(AB48:AB55)</f>
        <v>14223.800000000001</v>
      </c>
      <c r="AC56" s="408">
        <f t="shared" ref="AC56:AH56" si="80">SUM(AC48:AC55)-AC55</f>
        <v>14093.300000000003</v>
      </c>
      <c r="AD56" s="407">
        <f t="shared" si="80"/>
        <v>13627.199999999999</v>
      </c>
      <c r="AE56" s="407">
        <f t="shared" si="80"/>
        <v>13339.2</v>
      </c>
      <c r="AF56" s="407">
        <f t="shared" si="80"/>
        <v>8183.7</v>
      </c>
      <c r="AG56" s="409">
        <f t="shared" si="80"/>
        <v>7773.5</v>
      </c>
      <c r="AH56" s="410">
        <f t="shared" si="80"/>
        <v>13787.7</v>
      </c>
      <c r="AI56" s="410">
        <f t="shared" ref="AI56:AK56" si="81">SUM(AI48:AI55)-AI55</f>
        <v>13316.1</v>
      </c>
      <c r="AJ56" s="410">
        <f t="shared" si="81"/>
        <v>13004.800000000001</v>
      </c>
      <c r="AK56" s="409">
        <f t="shared" si="81"/>
        <v>12670.500000000002</v>
      </c>
      <c r="AL56" s="410">
        <f t="shared" ref="AL56:AN56" si="82">SUM(AL48:AL55)-AL55</f>
        <v>11538.9</v>
      </c>
      <c r="AM56" s="410">
        <f t="shared" si="82"/>
        <v>11262.199999999999</v>
      </c>
      <c r="AN56" s="410">
        <f t="shared" si="82"/>
        <v>10896.3</v>
      </c>
      <c r="AO56" s="410">
        <f t="shared" ref="AO56" si="83">SUM(AO48:AO55)-AO55</f>
        <v>11723.7</v>
      </c>
      <c r="AP56" s="534">
        <f t="shared" ref="AP56:AS56" si="84">SUM(AP48:AP55)-AP55</f>
        <v>12062</v>
      </c>
      <c r="AQ56" s="534">
        <f t="shared" si="84"/>
        <v>0</v>
      </c>
      <c r="AR56" s="534">
        <f t="shared" si="84"/>
        <v>0</v>
      </c>
      <c r="AS56" s="410">
        <f t="shared" si="84"/>
        <v>0</v>
      </c>
    </row>
    <row r="57" spans="1:45" s="143" customFormat="1" ht="20.149999999999999" customHeight="1">
      <c r="A57" s="396" t="s">
        <v>871</v>
      </c>
      <c r="B57" s="427" t="s">
        <v>28</v>
      </c>
      <c r="C57" s="289">
        <f>30355*1/1000</f>
        <v>30.355</v>
      </c>
      <c r="D57" s="289">
        <f>247376*1/1000</f>
        <v>247.376</v>
      </c>
      <c r="E57" s="335">
        <f>208084*1/1000</f>
        <v>208.084</v>
      </c>
      <c r="F57" s="290">
        <f>88731*1/1000</f>
        <v>88.730999999999995</v>
      </c>
      <c r="G57" s="291">
        <f>93063*1/1000</f>
        <v>93.063000000000002</v>
      </c>
      <c r="H57" s="290">
        <f>66571*1/1000</f>
        <v>66.570999999999998</v>
      </c>
      <c r="I57" s="291">
        <f>63868*1/1000</f>
        <v>63.868000000000002</v>
      </c>
      <c r="J57" s="290">
        <f>47370*1/1000</f>
        <v>47.37</v>
      </c>
      <c r="K57" s="291">
        <f>20085*1/1000</f>
        <v>20.085000000000001</v>
      </c>
      <c r="L57" s="291">
        <f>71541*1/1000</f>
        <v>71.540999999999997</v>
      </c>
      <c r="M57" s="290">
        <f>18041*1/1000</f>
        <v>18.041</v>
      </c>
      <c r="N57" s="291">
        <f>164648*1/1000</f>
        <v>164.648</v>
      </c>
      <c r="O57" s="291">
        <f>225577*1/1000</f>
        <v>225.577</v>
      </c>
      <c r="P57" s="291">
        <f>230283*1/1000</f>
        <v>230.28299999999999</v>
      </c>
      <c r="Q57" s="290">
        <f>246778*1/1000</f>
        <v>246.77799999999999</v>
      </c>
      <c r="R57" s="291">
        <f>250363*1/1000</f>
        <v>250.363</v>
      </c>
      <c r="S57" s="291">
        <f>265796*1/1000</f>
        <v>265.79599999999999</v>
      </c>
      <c r="T57" s="291">
        <f>238676*1/1000</f>
        <v>238.67599999999999</v>
      </c>
      <c r="U57" s="367">
        <f>275608*1/1000</f>
        <v>275.608</v>
      </c>
      <c r="V57" s="368">
        <f>250329*1/1000</f>
        <v>250.32900000000001</v>
      </c>
      <c r="W57" s="368">
        <f>263389*1/1000</f>
        <v>263.38900000000001</v>
      </c>
      <c r="X57" s="368">
        <f>214673*1/1000</f>
        <v>214.673</v>
      </c>
      <c r="Y57" s="367">
        <f>245994*1/1000</f>
        <v>245.994</v>
      </c>
      <c r="Z57" s="368">
        <f>240921*1/1000</f>
        <v>240.92099999999999</v>
      </c>
      <c r="AA57" s="296">
        <v>1094.3</v>
      </c>
      <c r="AB57" s="296">
        <v>1365.1</v>
      </c>
      <c r="AC57" s="369">
        <v>1322.6</v>
      </c>
      <c r="AD57" s="382">
        <v>1543.9</v>
      </c>
      <c r="AE57" s="382">
        <v>1169.9000000000001</v>
      </c>
      <c r="AF57" s="296">
        <v>963.7</v>
      </c>
      <c r="AG57" s="299">
        <v>1230.9000000000001</v>
      </c>
      <c r="AH57" s="321">
        <v>1593</v>
      </c>
      <c r="AI57" s="321">
        <v>1251.3</v>
      </c>
      <c r="AJ57" s="321">
        <v>1269.4000000000001</v>
      </c>
      <c r="AK57" s="299">
        <v>1270</v>
      </c>
      <c r="AL57" s="321">
        <v>1286.8</v>
      </c>
      <c r="AM57" s="321">
        <v>1805.9</v>
      </c>
      <c r="AN57" s="321">
        <v>1824.8</v>
      </c>
      <c r="AO57" s="299">
        <v>1341.9</v>
      </c>
      <c r="AP57" s="537">
        <v>552.9</v>
      </c>
      <c r="AQ57" s="537"/>
      <c r="AR57" s="537"/>
      <c r="AS57" s="299"/>
    </row>
    <row r="58" spans="1:45" s="143" customFormat="1" ht="20.149999999999999" customHeight="1">
      <c r="A58" s="396" t="s">
        <v>872</v>
      </c>
      <c r="B58" s="427" t="s">
        <v>174</v>
      </c>
      <c r="C58" s="302">
        <v>0</v>
      </c>
      <c r="D58" s="302">
        <v>0</v>
      </c>
      <c r="E58" s="302">
        <v>0</v>
      </c>
      <c r="F58" s="302">
        <v>0</v>
      </c>
      <c r="G58" s="304">
        <v>0</v>
      </c>
      <c r="H58" s="302">
        <v>0</v>
      </c>
      <c r="I58" s="304">
        <v>0</v>
      </c>
      <c r="J58" s="302">
        <v>0</v>
      </c>
      <c r="K58" s="304">
        <v>0</v>
      </c>
      <c r="L58" s="304">
        <v>0</v>
      </c>
      <c r="M58" s="302">
        <v>0</v>
      </c>
      <c r="N58" s="304">
        <v>0</v>
      </c>
      <c r="O58" s="291">
        <f>94800*1/1000</f>
        <v>94.8</v>
      </c>
      <c r="P58" s="291">
        <f>106883*1/1000</f>
        <v>106.883</v>
      </c>
      <c r="Q58" s="290">
        <f>105052*1/1000</f>
        <v>105.05200000000001</v>
      </c>
      <c r="R58" s="291">
        <f>100836*1/1000</f>
        <v>100.836</v>
      </c>
      <c r="S58" s="291">
        <f>101342*1/1000</f>
        <v>101.342</v>
      </c>
      <c r="T58" s="291">
        <f>99687*1/1000</f>
        <v>99.686999999999998</v>
      </c>
      <c r="U58" s="367">
        <f>97256*1/1000</f>
        <v>97.256</v>
      </c>
      <c r="V58" s="368">
        <f>101219*1/1000</f>
        <v>101.21899999999999</v>
      </c>
      <c r="W58" s="368">
        <f>102957*1/1000</f>
        <v>102.95699999999999</v>
      </c>
      <c r="X58" s="368">
        <f>102171*1/1000</f>
        <v>102.17100000000001</v>
      </c>
      <c r="Y58" s="367">
        <f>98659*1/1000</f>
        <v>98.659000000000006</v>
      </c>
      <c r="Z58" s="368">
        <f>101071*1/1000</f>
        <v>101.071</v>
      </c>
      <c r="AA58" s="301">
        <v>431.9</v>
      </c>
      <c r="AB58" s="301">
        <v>439.1</v>
      </c>
      <c r="AC58" s="369">
        <v>464.4</v>
      </c>
      <c r="AD58" s="370">
        <v>462.5</v>
      </c>
      <c r="AE58" s="370">
        <v>479.4</v>
      </c>
      <c r="AF58" s="301">
        <v>4607.5</v>
      </c>
      <c r="AG58" s="299">
        <v>4776.7</v>
      </c>
      <c r="AH58" s="300">
        <v>41.5</v>
      </c>
      <c r="AI58" s="300">
        <v>42.3</v>
      </c>
      <c r="AJ58" s="300">
        <v>41.9</v>
      </c>
      <c r="AK58" s="299">
        <v>42.4</v>
      </c>
      <c r="AL58" s="300">
        <v>981.4</v>
      </c>
      <c r="AM58" s="300">
        <v>42.5</v>
      </c>
      <c r="AN58" s="300">
        <v>42.1</v>
      </c>
      <c r="AO58" s="299">
        <v>42.5</v>
      </c>
      <c r="AP58" s="529">
        <v>41.9</v>
      </c>
      <c r="AQ58" s="529"/>
      <c r="AR58" s="529"/>
      <c r="AS58" s="299"/>
    </row>
    <row r="59" spans="1:45" s="143" customFormat="1" ht="20.149999999999999" customHeight="1">
      <c r="A59" s="396" t="s">
        <v>873</v>
      </c>
      <c r="B59" s="427" t="s">
        <v>29</v>
      </c>
      <c r="C59" s="302">
        <v>0</v>
      </c>
      <c r="D59" s="302">
        <v>0</v>
      </c>
      <c r="E59" s="302">
        <v>0</v>
      </c>
      <c r="F59" s="289">
        <f>204*1/1000</f>
        <v>0.20399999999999999</v>
      </c>
      <c r="G59" s="291">
        <f>191*1/1000</f>
        <v>0.191</v>
      </c>
      <c r="H59" s="289">
        <f>238*1/1000</f>
        <v>0.23799999999999999</v>
      </c>
      <c r="I59" s="292">
        <f>255*1/1000</f>
        <v>0.255</v>
      </c>
      <c r="J59" s="289">
        <f>234*1/1000</f>
        <v>0.23400000000000001</v>
      </c>
      <c r="K59" s="291">
        <f>729*1/1000</f>
        <v>0.72899999999999998</v>
      </c>
      <c r="L59" s="291">
        <f>574*1/1000</f>
        <v>0.57399999999999995</v>
      </c>
      <c r="M59" s="290">
        <f>491*1/1000</f>
        <v>0.49099999999999999</v>
      </c>
      <c r="N59" s="291">
        <f>430*1/1000</f>
        <v>0.43</v>
      </c>
      <c r="O59" s="291">
        <f>227*1/1000</f>
        <v>0.22700000000000001</v>
      </c>
      <c r="P59" s="291">
        <f>251*1/1000</f>
        <v>0.251</v>
      </c>
      <c r="Q59" s="290">
        <f>252*1/1000</f>
        <v>0.252</v>
      </c>
      <c r="R59" s="291">
        <f>237*1/1000</f>
        <v>0.23699999999999999</v>
      </c>
      <c r="S59" s="291">
        <f>243*1/1000</f>
        <v>0.24299999999999999</v>
      </c>
      <c r="T59" s="291">
        <f>234*1/1000</f>
        <v>0.23400000000000001</v>
      </c>
      <c r="U59" s="367">
        <f>233*1/1000</f>
        <v>0.23300000000000001</v>
      </c>
      <c r="V59" s="368">
        <f>238*1/1000</f>
        <v>0.23799999999999999</v>
      </c>
      <c r="W59" s="368">
        <f>247*1/1000</f>
        <v>0.247</v>
      </c>
      <c r="X59" s="368">
        <f>240*1/1000</f>
        <v>0.24</v>
      </c>
      <c r="Y59" s="367">
        <f>236*1/1000</f>
        <v>0.23599999999999999</v>
      </c>
      <c r="Z59" s="368">
        <f>237*1/1000</f>
        <v>0.23699999999999999</v>
      </c>
      <c r="AA59" s="301">
        <v>5.3</v>
      </c>
      <c r="AB59" s="301">
        <v>5.8</v>
      </c>
      <c r="AC59" s="369">
        <v>6.8</v>
      </c>
      <c r="AD59" s="370">
        <v>2.7</v>
      </c>
      <c r="AE59" s="370">
        <v>3.7</v>
      </c>
      <c r="AF59" s="301">
        <v>4.3</v>
      </c>
      <c r="AG59" s="299">
        <v>4.3</v>
      </c>
      <c r="AH59" s="300">
        <v>4.5</v>
      </c>
      <c r="AI59" s="300">
        <v>4.9000000000000004</v>
      </c>
      <c r="AJ59" s="300">
        <v>4.9000000000000004</v>
      </c>
      <c r="AK59" s="299">
        <v>5</v>
      </c>
      <c r="AL59" s="300">
        <v>5.2</v>
      </c>
      <c r="AM59" s="300">
        <v>7.6</v>
      </c>
      <c r="AN59" s="300">
        <v>7</v>
      </c>
      <c r="AO59" s="299">
        <v>9.6999999999999993</v>
      </c>
      <c r="AP59" s="529">
        <v>10.4</v>
      </c>
      <c r="AQ59" s="529"/>
      <c r="AR59" s="529"/>
      <c r="AS59" s="299"/>
    </row>
    <row r="60" spans="1:45" s="143" customFormat="1" ht="20.149999999999999" customHeight="1">
      <c r="A60" s="396" t="s">
        <v>874</v>
      </c>
      <c r="B60" s="427" t="s">
        <v>777</v>
      </c>
      <c r="C60" s="320">
        <v>0</v>
      </c>
      <c r="D60" s="320">
        <v>0</v>
      </c>
      <c r="E60" s="320">
        <v>0</v>
      </c>
      <c r="F60" s="390">
        <v>0</v>
      </c>
      <c r="G60" s="321">
        <v>0</v>
      </c>
      <c r="H60" s="390">
        <v>0</v>
      </c>
      <c r="I60" s="321">
        <v>0</v>
      </c>
      <c r="J60" s="390">
        <v>0</v>
      </c>
      <c r="K60" s="321">
        <v>0</v>
      </c>
      <c r="L60" s="321">
        <v>0</v>
      </c>
      <c r="M60" s="390">
        <v>0</v>
      </c>
      <c r="N60" s="321">
        <v>0</v>
      </c>
      <c r="O60" s="300">
        <v>0</v>
      </c>
      <c r="P60" s="300">
        <v>0</v>
      </c>
      <c r="Q60" s="299">
        <v>0</v>
      </c>
      <c r="R60" s="300">
        <v>0</v>
      </c>
      <c r="S60" s="300">
        <v>0</v>
      </c>
      <c r="T60" s="300">
        <v>0</v>
      </c>
      <c r="U60" s="299">
        <v>0</v>
      </c>
      <c r="V60" s="300">
        <v>0</v>
      </c>
      <c r="W60" s="300">
        <v>0</v>
      </c>
      <c r="X60" s="300">
        <v>0</v>
      </c>
      <c r="Y60" s="299">
        <v>0</v>
      </c>
      <c r="Z60" s="300">
        <v>0</v>
      </c>
      <c r="AA60" s="301">
        <v>115.8</v>
      </c>
      <c r="AB60" s="301">
        <v>113.9</v>
      </c>
      <c r="AC60" s="369">
        <v>117.1</v>
      </c>
      <c r="AD60" s="370">
        <v>113</v>
      </c>
      <c r="AE60" s="370">
        <v>116.7</v>
      </c>
      <c r="AF60" s="301">
        <v>115.6</v>
      </c>
      <c r="AG60" s="299">
        <v>117</v>
      </c>
      <c r="AH60" s="300">
        <v>118</v>
      </c>
      <c r="AI60" s="300">
        <v>123.1</v>
      </c>
      <c r="AJ60" s="300">
        <v>117.7</v>
      </c>
      <c r="AK60" s="299">
        <v>121.5</v>
      </c>
      <c r="AL60" s="300">
        <v>116.6</v>
      </c>
      <c r="AM60" s="300">
        <v>117.6</v>
      </c>
      <c r="AN60" s="300">
        <v>117.6</v>
      </c>
      <c r="AO60" s="299">
        <v>114.5</v>
      </c>
      <c r="AP60" s="529">
        <v>116.3</v>
      </c>
      <c r="AQ60" s="529"/>
      <c r="AR60" s="529"/>
      <c r="AS60" s="299"/>
    </row>
    <row r="61" spans="1:45" s="143" customFormat="1" ht="20.149999999999999" customHeight="1">
      <c r="A61" s="540" t="s">
        <v>1056</v>
      </c>
      <c r="B61" s="541" t="s">
        <v>1057</v>
      </c>
      <c r="C61" s="320"/>
      <c r="D61" s="320"/>
      <c r="E61" s="320"/>
      <c r="F61" s="390"/>
      <c r="G61" s="321"/>
      <c r="H61" s="390"/>
      <c r="I61" s="321"/>
      <c r="J61" s="390"/>
      <c r="K61" s="321"/>
      <c r="L61" s="321"/>
      <c r="M61" s="390"/>
      <c r="N61" s="321"/>
      <c r="O61" s="300"/>
      <c r="P61" s="300"/>
      <c r="Q61" s="299"/>
      <c r="R61" s="300"/>
      <c r="S61" s="300"/>
      <c r="T61" s="300"/>
      <c r="U61" s="299"/>
      <c r="V61" s="300"/>
      <c r="W61" s="300"/>
      <c r="X61" s="300"/>
      <c r="Y61" s="299"/>
      <c r="Z61" s="300"/>
      <c r="AA61" s="301"/>
      <c r="AB61" s="301"/>
      <c r="AC61" s="369"/>
      <c r="AD61" s="370"/>
      <c r="AE61" s="370"/>
      <c r="AF61" s="301"/>
      <c r="AG61" s="299"/>
      <c r="AH61" s="300"/>
      <c r="AI61" s="300"/>
      <c r="AJ61" s="300"/>
      <c r="AK61" s="299"/>
      <c r="AL61" s="300"/>
      <c r="AM61" s="300"/>
      <c r="AN61" s="300"/>
      <c r="AO61" s="299"/>
      <c r="AP61" s="537">
        <v>359</v>
      </c>
      <c r="AQ61" s="529"/>
      <c r="AR61" s="529"/>
      <c r="AS61" s="299"/>
    </row>
    <row r="62" spans="1:45" s="143" customFormat="1" ht="20.149999999999999" customHeight="1">
      <c r="A62" s="396" t="s">
        <v>880</v>
      </c>
      <c r="B62" s="427" t="s">
        <v>34</v>
      </c>
      <c r="C62" s="289">
        <f>50510*1/1000</f>
        <v>50.51</v>
      </c>
      <c r="D62" s="289">
        <f>46898*1/1000</f>
        <v>46.898000000000003</v>
      </c>
      <c r="E62" s="335">
        <f>97562*1/1000</f>
        <v>97.561999999999998</v>
      </c>
      <c r="F62" s="290">
        <f>208714*1/1000</f>
        <v>208.714</v>
      </c>
      <c r="G62" s="291">
        <f>124381*1/1000</f>
        <v>124.381</v>
      </c>
      <c r="H62" s="290">
        <f>197525*1/1000</f>
        <v>197.52500000000001</v>
      </c>
      <c r="I62" s="291">
        <f>214344*1/1000</f>
        <v>214.34399999999999</v>
      </c>
      <c r="J62" s="290">
        <f>222213*1/1000</f>
        <v>222.21299999999999</v>
      </c>
      <c r="K62" s="291">
        <f>373736*1/1000</f>
        <v>373.73599999999999</v>
      </c>
      <c r="L62" s="291">
        <f>279303*1/1000</f>
        <v>279.303</v>
      </c>
      <c r="M62" s="290">
        <f>317953*1/1000</f>
        <v>317.95299999999997</v>
      </c>
      <c r="N62" s="291">
        <f>294933*1/1000</f>
        <v>294.93299999999999</v>
      </c>
      <c r="O62" s="291">
        <f>409504*1/1000</f>
        <v>409.50400000000002</v>
      </c>
      <c r="P62" s="291">
        <f>458370*1/1000</f>
        <v>458.37</v>
      </c>
      <c r="Q62" s="290">
        <f>374955*1/1000</f>
        <v>374.95499999999998</v>
      </c>
      <c r="R62" s="291">
        <f>435427*1/1000</f>
        <v>435.42700000000002</v>
      </c>
      <c r="S62" s="291">
        <f>436188*1/1000</f>
        <v>436.18799999999999</v>
      </c>
      <c r="T62" s="291">
        <f>441676*1/1000</f>
        <v>441.67599999999999</v>
      </c>
      <c r="U62" s="367">
        <f>472094*1/1000</f>
        <v>472.09399999999999</v>
      </c>
      <c r="V62" s="368">
        <f>432897*1/1000</f>
        <v>432.89699999999999</v>
      </c>
      <c r="W62" s="368">
        <f>428004*1/1000</f>
        <v>428.00400000000002</v>
      </c>
      <c r="X62" s="368">
        <f>390829*1/1000</f>
        <v>390.82900000000001</v>
      </c>
      <c r="Y62" s="367">
        <f>413210*1/1000</f>
        <v>413.21</v>
      </c>
      <c r="Z62" s="368">
        <f>418100*1/1000</f>
        <v>418.1</v>
      </c>
      <c r="AA62" s="296">
        <v>1618.8</v>
      </c>
      <c r="AB62" s="296">
        <v>1505.3</v>
      </c>
      <c r="AC62" s="369">
        <v>1523</v>
      </c>
      <c r="AD62" s="382">
        <v>1333.5</v>
      </c>
      <c r="AE62" s="382">
        <v>1670.4</v>
      </c>
      <c r="AF62" s="296">
        <v>1431.5</v>
      </c>
      <c r="AG62" s="299">
        <v>1485.4</v>
      </c>
      <c r="AH62" s="321">
        <v>1711.4</v>
      </c>
      <c r="AI62" s="321">
        <v>1365.9</v>
      </c>
      <c r="AJ62" s="321">
        <v>1338.1</v>
      </c>
      <c r="AK62" s="299">
        <v>1569.5</v>
      </c>
      <c r="AL62" s="321">
        <v>1337.9</v>
      </c>
      <c r="AM62" s="321">
        <v>1694.4</v>
      </c>
      <c r="AN62" s="321">
        <v>1397.9</v>
      </c>
      <c r="AO62" s="299">
        <v>1727.3</v>
      </c>
      <c r="AP62" s="529">
        <v>1430.8</v>
      </c>
      <c r="AQ62" s="529"/>
      <c r="AR62" s="529"/>
      <c r="AS62" s="299"/>
    </row>
    <row r="63" spans="1:45" s="143" customFormat="1" ht="20.149999999999999" customHeight="1">
      <c r="A63" s="397" t="s">
        <v>878</v>
      </c>
      <c r="B63" s="324" t="s">
        <v>740</v>
      </c>
      <c r="C63" s="320">
        <v>0</v>
      </c>
      <c r="D63" s="320">
        <v>0</v>
      </c>
      <c r="E63" s="389">
        <v>0</v>
      </c>
      <c r="F63" s="390">
        <v>0</v>
      </c>
      <c r="G63" s="321">
        <v>0</v>
      </c>
      <c r="H63" s="390">
        <v>0</v>
      </c>
      <c r="I63" s="321">
        <v>0</v>
      </c>
      <c r="J63" s="390">
        <v>0</v>
      </c>
      <c r="K63" s="321">
        <v>0</v>
      </c>
      <c r="L63" s="321">
        <v>0</v>
      </c>
      <c r="M63" s="390">
        <v>0</v>
      </c>
      <c r="N63" s="321">
        <v>0</v>
      </c>
      <c r="O63" s="321">
        <v>0</v>
      </c>
      <c r="P63" s="321">
        <v>0</v>
      </c>
      <c r="Q63" s="390">
        <v>0</v>
      </c>
      <c r="R63" s="321">
        <v>0</v>
      </c>
      <c r="S63" s="321">
        <v>0</v>
      </c>
      <c r="T63" s="321">
        <v>0</v>
      </c>
      <c r="U63" s="299">
        <v>0</v>
      </c>
      <c r="V63" s="300">
        <v>0</v>
      </c>
      <c r="W63" s="300">
        <v>0</v>
      </c>
      <c r="X63" s="300">
        <v>0</v>
      </c>
      <c r="Y63" s="299">
        <v>0</v>
      </c>
      <c r="Z63" s="300">
        <v>0</v>
      </c>
      <c r="AA63" s="323">
        <v>0</v>
      </c>
      <c r="AB63" s="323">
        <v>0</v>
      </c>
      <c r="AC63" s="392">
        <v>87</v>
      </c>
      <c r="AD63" s="393">
        <v>99.7</v>
      </c>
      <c r="AE63" s="393">
        <v>79</v>
      </c>
      <c r="AF63" s="394">
        <v>57.1</v>
      </c>
      <c r="AG63" s="330">
        <v>72.900000000000006</v>
      </c>
      <c r="AH63" s="329">
        <v>25.8</v>
      </c>
      <c r="AI63" s="329">
        <v>3.5</v>
      </c>
      <c r="AJ63" s="329">
        <v>1.8</v>
      </c>
      <c r="AK63" s="330">
        <v>0</v>
      </c>
      <c r="AL63" s="329">
        <v>1.5</v>
      </c>
      <c r="AM63" s="329">
        <v>0.6</v>
      </c>
      <c r="AN63" s="329">
        <v>0.5</v>
      </c>
      <c r="AO63" s="330">
        <v>3.6</v>
      </c>
      <c r="AP63" s="532">
        <v>2.8</v>
      </c>
      <c r="AQ63" s="537"/>
      <c r="AR63" s="537"/>
      <c r="AS63" s="330"/>
    </row>
    <row r="64" spans="1:45" s="143" customFormat="1" ht="20.149999999999999" customHeight="1">
      <c r="A64" s="396" t="s">
        <v>881</v>
      </c>
      <c r="B64" s="427" t="s">
        <v>33</v>
      </c>
      <c r="C64" s="302">
        <v>0</v>
      </c>
      <c r="D64" s="302">
        <v>0</v>
      </c>
      <c r="E64" s="302">
        <v>0</v>
      </c>
      <c r="F64" s="302">
        <v>0</v>
      </c>
      <c r="G64" s="291">
        <f>1779*1/1000</f>
        <v>1.7789999999999999</v>
      </c>
      <c r="H64" s="289">
        <v>0.4</v>
      </c>
      <c r="I64" s="291">
        <f>330*1/1000</f>
        <v>0.33</v>
      </c>
      <c r="J64" s="302">
        <v>0</v>
      </c>
      <c r="K64" s="304">
        <v>0</v>
      </c>
      <c r="L64" s="304">
        <v>0</v>
      </c>
      <c r="M64" s="302">
        <v>0</v>
      </c>
      <c r="N64" s="304">
        <v>0</v>
      </c>
      <c r="O64" s="291">
        <f>23085*1/1000</f>
        <v>23.085000000000001</v>
      </c>
      <c r="P64" s="291">
        <f>24895*1/1000</f>
        <v>24.895</v>
      </c>
      <c r="Q64" s="290">
        <f>29226*1/1000</f>
        <v>29.225999999999999</v>
      </c>
      <c r="R64" s="291">
        <f>29589*1/1000</f>
        <v>29.588999999999999</v>
      </c>
      <c r="S64" s="291">
        <f>7799*1/1000</f>
        <v>7.7990000000000004</v>
      </c>
      <c r="T64" s="291">
        <f>6782*1/1000</f>
        <v>6.782</v>
      </c>
      <c r="U64" s="367">
        <f>7092*1/1000</f>
        <v>7.0919999999999996</v>
      </c>
      <c r="V64" s="368">
        <f>1990*1/1000</f>
        <v>1.99</v>
      </c>
      <c r="W64" s="368">
        <f>6510*1/1000</f>
        <v>6.51</v>
      </c>
      <c r="X64" s="368">
        <f>14152*1/1000</f>
        <v>14.151999999999999</v>
      </c>
      <c r="Y64" s="367">
        <f>4520*1/1000</f>
        <v>4.5199999999999996</v>
      </c>
      <c r="Z64" s="368">
        <f>12203*1/1000</f>
        <v>12.202999999999999</v>
      </c>
      <c r="AA64" s="301">
        <v>43.7</v>
      </c>
      <c r="AB64" s="301">
        <v>22.1</v>
      </c>
      <c r="AC64" s="369">
        <v>48.028993427171699</v>
      </c>
      <c r="AD64" s="370">
        <v>22.5</v>
      </c>
      <c r="AE64" s="370">
        <v>132.69999999999999</v>
      </c>
      <c r="AF64" s="301">
        <v>96.3</v>
      </c>
      <c r="AG64" s="299">
        <v>176.1</v>
      </c>
      <c r="AH64" s="300">
        <v>29.2</v>
      </c>
      <c r="AI64" s="300">
        <v>39.1</v>
      </c>
      <c r="AJ64" s="300">
        <v>21.967722325707697</v>
      </c>
      <c r="AK64" s="299">
        <v>24.9</v>
      </c>
      <c r="AL64" s="300">
        <v>4.3</v>
      </c>
      <c r="AM64" s="300">
        <v>24.9</v>
      </c>
      <c r="AN64" s="300">
        <v>17.5</v>
      </c>
      <c r="AO64" s="299">
        <v>61.3</v>
      </c>
      <c r="AP64" s="529">
        <v>60.1</v>
      </c>
      <c r="AQ64" s="532"/>
      <c r="AR64" s="532"/>
      <c r="AS64" s="299"/>
    </row>
    <row r="65" spans="1:45" s="143" customFormat="1" ht="20.149999999999999" customHeight="1">
      <c r="A65" s="396" t="s">
        <v>882</v>
      </c>
      <c r="B65" s="427" t="s">
        <v>71</v>
      </c>
      <c r="C65" s="289">
        <f>31542*1/1000</f>
        <v>31.542000000000002</v>
      </c>
      <c r="D65" s="289">
        <f>28472*1/1000</f>
        <v>28.472000000000001</v>
      </c>
      <c r="E65" s="335">
        <f>21641*1/1000</f>
        <v>21.640999999999998</v>
      </c>
      <c r="F65" s="290">
        <f>20032*1/1000</f>
        <v>20.032</v>
      </c>
      <c r="G65" s="291">
        <f>19853*1/1000</f>
        <v>19.853000000000002</v>
      </c>
      <c r="H65" s="290">
        <f>22447*1/1000</f>
        <v>22.446999999999999</v>
      </c>
      <c r="I65" s="291">
        <f>19631*1/1000</f>
        <v>19.631</v>
      </c>
      <c r="J65" s="290">
        <f>18800*1/1000</f>
        <v>18.8</v>
      </c>
      <c r="K65" s="291">
        <f>17659*1/1000</f>
        <v>17.658999999999999</v>
      </c>
      <c r="L65" s="291">
        <f>16126*1/1000</f>
        <v>16.126000000000001</v>
      </c>
      <c r="M65" s="290">
        <f>15523*1/1000</f>
        <v>15.523</v>
      </c>
      <c r="N65" s="291">
        <f>14124*1/1000</f>
        <v>14.124000000000001</v>
      </c>
      <c r="O65" s="291">
        <f>15170*1/1000</f>
        <v>15.17</v>
      </c>
      <c r="P65" s="291">
        <f>14960*1/1000</f>
        <v>14.96</v>
      </c>
      <c r="Q65" s="290">
        <f>12744*1/1000</f>
        <v>12.744</v>
      </c>
      <c r="R65" s="291">
        <f>12532*1/1000</f>
        <v>12.532</v>
      </c>
      <c r="S65" s="291">
        <f>12125*1/1000</f>
        <v>12.125</v>
      </c>
      <c r="T65" s="291">
        <f>12084*1/1000</f>
        <v>12.084</v>
      </c>
      <c r="U65" s="367">
        <f>13259*1/1000</f>
        <v>13.259</v>
      </c>
      <c r="V65" s="368">
        <f>13182*1/1000</f>
        <v>13.182</v>
      </c>
      <c r="W65" s="368">
        <f>12551*1/1000</f>
        <v>12.551</v>
      </c>
      <c r="X65" s="368">
        <f>12536*1/1000</f>
        <v>12.536</v>
      </c>
      <c r="Y65" s="367">
        <f>2727*1/1000</f>
        <v>2.7269999999999999</v>
      </c>
      <c r="Z65" s="368">
        <f>2843*1/1000</f>
        <v>2.843</v>
      </c>
      <c r="AA65" s="301">
        <v>2.6</v>
      </c>
      <c r="AB65" s="301">
        <v>2.7</v>
      </c>
      <c r="AC65" s="369">
        <v>1.4</v>
      </c>
      <c r="AD65" s="370">
        <v>1.4</v>
      </c>
      <c r="AE65" s="391" t="s">
        <v>194</v>
      </c>
      <c r="AF65" s="391" t="s">
        <v>194</v>
      </c>
      <c r="AG65" s="395" t="s">
        <v>194</v>
      </c>
      <c r="AH65" s="391" t="s">
        <v>194</v>
      </c>
      <c r="AI65" s="391" t="s">
        <v>194</v>
      </c>
      <c r="AJ65" s="391" t="s">
        <v>194</v>
      </c>
      <c r="AK65" s="395" t="s">
        <v>194</v>
      </c>
      <c r="AL65" s="391" t="s">
        <v>194</v>
      </c>
      <c r="AM65" s="391" t="s">
        <v>194</v>
      </c>
      <c r="AN65" s="391" t="s">
        <v>194</v>
      </c>
      <c r="AO65" s="395" t="s">
        <v>194</v>
      </c>
      <c r="AP65" s="539" t="s">
        <v>194</v>
      </c>
      <c r="AQ65" s="529"/>
      <c r="AR65" s="529"/>
      <c r="AS65" s="395"/>
    </row>
    <row r="66" spans="1:45" s="143" customFormat="1" ht="20.149999999999999" customHeight="1">
      <c r="A66" s="396" t="s">
        <v>876</v>
      </c>
      <c r="B66" s="427" t="s">
        <v>827</v>
      </c>
      <c r="C66" s="289">
        <f>27995*1/1000</f>
        <v>27.995000000000001</v>
      </c>
      <c r="D66" s="289">
        <f>35645*1/1000</f>
        <v>35.645000000000003</v>
      </c>
      <c r="E66" s="335">
        <f>56799*1/1000</f>
        <v>56.798999999999999</v>
      </c>
      <c r="F66" s="290">
        <f>81468*1/1000</f>
        <v>81.468000000000004</v>
      </c>
      <c r="G66" s="291">
        <f>106824*1/1000</f>
        <v>106.824</v>
      </c>
      <c r="H66" s="290">
        <f>119265*1/1000</f>
        <v>119.265</v>
      </c>
      <c r="I66" s="291">
        <f>133273*1/1000</f>
        <v>133.273</v>
      </c>
      <c r="J66" s="290">
        <f>135062*1/1000</f>
        <v>135.06200000000001</v>
      </c>
      <c r="K66" s="291">
        <f>149981*1/1000</f>
        <v>149.98099999999999</v>
      </c>
      <c r="L66" s="291">
        <f>159197*1/1000</f>
        <v>159.197</v>
      </c>
      <c r="M66" s="290">
        <f>166432*1/1000</f>
        <v>166.43199999999999</v>
      </c>
      <c r="N66" s="291">
        <f>171191*1/1000</f>
        <v>171.191</v>
      </c>
      <c r="O66" s="291">
        <f>171189*1/1000</f>
        <v>171.18899999999999</v>
      </c>
      <c r="P66" s="291">
        <f>174847*1/1000</f>
        <v>174.84700000000001</v>
      </c>
      <c r="Q66" s="290">
        <f>199418*1/1000</f>
        <v>199.41800000000001</v>
      </c>
      <c r="R66" s="291">
        <f>188402*1/1000</f>
        <v>188.40199999999999</v>
      </c>
      <c r="S66" s="291">
        <f>209950*1/1000</f>
        <v>209.95</v>
      </c>
      <c r="T66" s="291">
        <f>210563*1/1000</f>
        <v>210.56299999999999</v>
      </c>
      <c r="U66" s="367">
        <f>201238*1/1000</f>
        <v>201.238</v>
      </c>
      <c r="V66" s="368">
        <f>207890*1/1000</f>
        <v>207.89</v>
      </c>
      <c r="W66" s="368">
        <f>204442*1/1000</f>
        <v>204.44200000000001</v>
      </c>
      <c r="X66" s="368">
        <f>210688*1/1000</f>
        <v>210.68799999999999</v>
      </c>
      <c r="Y66" s="367">
        <f>209485*1/1000</f>
        <v>209.48500000000001</v>
      </c>
      <c r="Z66" s="368">
        <f>228170*1/1000</f>
        <v>228.17</v>
      </c>
      <c r="AA66" s="301">
        <v>678</v>
      </c>
      <c r="AB66" s="301">
        <v>672.7</v>
      </c>
      <c r="AC66" s="369">
        <v>683.9</v>
      </c>
      <c r="AD66" s="370">
        <v>670.3</v>
      </c>
      <c r="AE66" s="370">
        <v>672</v>
      </c>
      <c r="AF66" s="301">
        <v>680.9</v>
      </c>
      <c r="AG66" s="299">
        <v>676.1</v>
      </c>
      <c r="AH66" s="300">
        <v>665</v>
      </c>
      <c r="AI66" s="300">
        <v>676.8</v>
      </c>
      <c r="AJ66" s="300">
        <v>660.84343092999995</v>
      </c>
      <c r="AK66" s="299">
        <v>647.9</v>
      </c>
      <c r="AL66" s="300">
        <v>633.79999999999995</v>
      </c>
      <c r="AM66" s="300">
        <v>637.29999999999995</v>
      </c>
      <c r="AN66" s="300">
        <v>629.5</v>
      </c>
      <c r="AO66" s="299">
        <v>618.29999999999995</v>
      </c>
      <c r="AP66" s="529">
        <v>356</v>
      </c>
      <c r="AQ66" s="539"/>
      <c r="AR66" s="539"/>
      <c r="AS66" s="299"/>
    </row>
    <row r="67" spans="1:45" s="143" customFormat="1" ht="20.149999999999999" customHeight="1" thickBot="1">
      <c r="A67" s="396" t="s">
        <v>883</v>
      </c>
      <c r="B67" s="427" t="s">
        <v>59</v>
      </c>
      <c r="C67" s="302">
        <v>0</v>
      </c>
      <c r="D67" s="302">
        <v>0</v>
      </c>
      <c r="E67" s="335">
        <f>1171*1/1000</f>
        <v>1.171</v>
      </c>
      <c r="F67" s="302">
        <v>0</v>
      </c>
      <c r="G67" s="304">
        <v>0</v>
      </c>
      <c r="H67" s="302">
        <v>0</v>
      </c>
      <c r="I67" s="304">
        <v>0</v>
      </c>
      <c r="J67" s="302">
        <v>0</v>
      </c>
      <c r="K67" s="304">
        <v>0</v>
      </c>
      <c r="L67" s="304">
        <v>0</v>
      </c>
      <c r="M67" s="302">
        <v>0</v>
      </c>
      <c r="N67" s="304">
        <v>0</v>
      </c>
      <c r="O67" s="304">
        <v>0</v>
      </c>
      <c r="P67" s="304">
        <v>0</v>
      </c>
      <c r="Q67" s="302">
        <v>0</v>
      </c>
      <c r="R67" s="304">
        <v>0</v>
      </c>
      <c r="S67" s="304">
        <v>0</v>
      </c>
      <c r="T67" s="304">
        <v>0</v>
      </c>
      <c r="U67" s="302">
        <v>0</v>
      </c>
      <c r="V67" s="304">
        <v>0</v>
      </c>
      <c r="W67" s="304">
        <v>0</v>
      </c>
      <c r="X67" s="304">
        <v>0</v>
      </c>
      <c r="Y67" s="302">
        <v>0</v>
      </c>
      <c r="Z67" s="304">
        <v>0</v>
      </c>
      <c r="AA67" s="304">
        <v>0</v>
      </c>
      <c r="AB67" s="304">
        <v>0</v>
      </c>
      <c r="AC67" s="302">
        <v>0</v>
      </c>
      <c r="AD67" s="304">
        <v>0</v>
      </c>
      <c r="AE67" s="304">
        <v>0</v>
      </c>
      <c r="AF67" s="304">
        <v>0</v>
      </c>
      <c r="AG67" s="320">
        <v>0</v>
      </c>
      <c r="AH67" s="322">
        <v>0</v>
      </c>
      <c r="AI67" s="322">
        <v>0</v>
      </c>
      <c r="AJ67" s="322">
        <v>0</v>
      </c>
      <c r="AK67" s="320">
        <v>0</v>
      </c>
      <c r="AL67" s="322">
        <v>0</v>
      </c>
      <c r="AM67" s="322" t="s">
        <v>1</v>
      </c>
      <c r="AN67" s="322">
        <v>0</v>
      </c>
      <c r="AO67" s="320">
        <v>0</v>
      </c>
      <c r="AP67" s="529">
        <v>0</v>
      </c>
      <c r="AQ67" s="529"/>
      <c r="AR67" s="529"/>
      <c r="AS67" s="320"/>
    </row>
    <row r="68" spans="1:45" s="287" customFormat="1" ht="20.149999999999999" customHeight="1" thickBot="1">
      <c r="A68" s="403" t="s">
        <v>884</v>
      </c>
      <c r="B68" s="428" t="s">
        <v>35</v>
      </c>
      <c r="C68" s="358">
        <f>SUM(C57:C67)</f>
        <v>140.40199999999999</v>
      </c>
      <c r="D68" s="358">
        <f t="shared" ref="D68:J68" si="85">SUM(D57:D67)</f>
        <v>358.39099999999996</v>
      </c>
      <c r="E68" s="358">
        <f t="shared" si="85"/>
        <v>385.25700000000001</v>
      </c>
      <c r="F68" s="358">
        <f t="shared" si="85"/>
        <v>399.149</v>
      </c>
      <c r="G68" s="359">
        <f t="shared" si="85"/>
        <v>346.09100000000001</v>
      </c>
      <c r="H68" s="358">
        <f t="shared" si="85"/>
        <v>406.44599999999997</v>
      </c>
      <c r="I68" s="359">
        <f t="shared" si="85"/>
        <v>431.70100000000002</v>
      </c>
      <c r="J68" s="358">
        <f t="shared" si="85"/>
        <v>423.67900000000003</v>
      </c>
      <c r="K68" s="359">
        <f t="shared" ref="K68" si="86">SUM(K57:K67)</f>
        <v>562.19000000000005</v>
      </c>
      <c r="L68" s="359">
        <f t="shared" ref="L68" si="87">SUM(L57:L67)</f>
        <v>526.74099999999999</v>
      </c>
      <c r="M68" s="358">
        <f t="shared" ref="M68" si="88">SUM(M57:M67)</f>
        <v>518.43999999999994</v>
      </c>
      <c r="N68" s="359">
        <f t="shared" ref="N68" si="89">SUM(N57:N67)</f>
        <v>645.32600000000002</v>
      </c>
      <c r="O68" s="359">
        <f t="shared" ref="O68" si="90">SUM(O57:O67)</f>
        <v>939.55199999999991</v>
      </c>
      <c r="P68" s="359">
        <f t="shared" ref="P68" si="91">SUM(P57:P67)</f>
        <v>1010.489</v>
      </c>
      <c r="Q68" s="358">
        <f t="shared" ref="Q68" si="92">SUM(Q57:Q67)</f>
        <v>968.42500000000007</v>
      </c>
      <c r="R68" s="405">
        <f t="shared" ref="R68" si="93">SUM(R57:R67)</f>
        <v>1017.386</v>
      </c>
      <c r="S68" s="405">
        <f t="shared" ref="S68" si="94">SUM(S57:S67)</f>
        <v>1033.443</v>
      </c>
      <c r="T68" s="405">
        <f t="shared" ref="T68" si="95">SUM(T57:T67)</f>
        <v>1009.7019999999999</v>
      </c>
      <c r="U68" s="412">
        <f t="shared" ref="U68:X68" si="96">SUM(U57:U67)</f>
        <v>1066.78</v>
      </c>
      <c r="V68" s="413">
        <f t="shared" si="96"/>
        <v>1007.745</v>
      </c>
      <c r="W68" s="413">
        <f t="shared" si="96"/>
        <v>1018.1</v>
      </c>
      <c r="X68" s="413">
        <f t="shared" si="96"/>
        <v>945.28899999999999</v>
      </c>
      <c r="Y68" s="412">
        <f t="shared" ref="Y68:Z68" si="97">SUM(Y57:Y67)</f>
        <v>974.8309999999999</v>
      </c>
      <c r="Z68" s="413">
        <f t="shared" si="97"/>
        <v>1003.5449999999998</v>
      </c>
      <c r="AA68" s="362">
        <f t="shared" ref="AA68:AB68" si="98">SUM(AA57:AA67)</f>
        <v>3990.3999999999992</v>
      </c>
      <c r="AB68" s="362">
        <f t="shared" si="98"/>
        <v>4126.7</v>
      </c>
      <c r="AC68" s="414">
        <f t="shared" ref="AC68:AH68" si="99">SUM(AC57:AC67)-AC63</f>
        <v>4167.2289934271712</v>
      </c>
      <c r="AD68" s="362">
        <f t="shared" si="99"/>
        <v>4149.8</v>
      </c>
      <c r="AE68" s="362">
        <f t="shared" si="99"/>
        <v>4244.8</v>
      </c>
      <c r="AF68" s="362">
        <f t="shared" si="99"/>
        <v>7899.8</v>
      </c>
      <c r="AG68" s="365">
        <f t="shared" si="99"/>
        <v>8466.5000000000018</v>
      </c>
      <c r="AH68" s="366">
        <f t="shared" si="99"/>
        <v>4162.5999999999995</v>
      </c>
      <c r="AI68" s="366">
        <f t="shared" ref="AI68:AJ68" si="100">SUM(AI57:AI67)-AI63</f>
        <v>3503.3999999999996</v>
      </c>
      <c r="AJ68" s="366">
        <f t="shared" si="100"/>
        <v>3454.8111532557077</v>
      </c>
      <c r="AK68" s="365">
        <f t="shared" ref="AK68" si="101">SUM(AK57:AK67)-AK63</f>
        <v>3681.2000000000003</v>
      </c>
      <c r="AL68" s="366">
        <f t="shared" ref="AL68:AN68" si="102">SUM(AL57:AL67)-AL63</f>
        <v>4366</v>
      </c>
      <c r="AM68" s="366">
        <f t="shared" si="102"/>
        <v>4330.2</v>
      </c>
      <c r="AN68" s="366">
        <f t="shared" si="102"/>
        <v>4036.3999999999996</v>
      </c>
      <c r="AO68" s="366">
        <f t="shared" ref="AO68" si="103">SUM(AO57:AO67)-AO63</f>
        <v>3915.5000000000005</v>
      </c>
      <c r="AP68" s="534">
        <f>SUM(AP57:AP66)-AP63</f>
        <v>2927.4</v>
      </c>
      <c r="AQ68" s="534">
        <f t="shared" ref="AQ68:AS68" si="104">SUM(AQ57:AQ67)-AQ64</f>
        <v>0</v>
      </c>
      <c r="AR68" s="534">
        <f t="shared" si="104"/>
        <v>0</v>
      </c>
      <c r="AS68" s="366">
        <f t="shared" si="104"/>
        <v>0</v>
      </c>
    </row>
    <row r="69" spans="1:45" s="287" customFormat="1" ht="20.149999999999999" customHeight="1" thickBot="1">
      <c r="A69" s="403" t="s">
        <v>885</v>
      </c>
      <c r="B69" s="428" t="s">
        <v>36</v>
      </c>
      <c r="C69" s="415">
        <f>C56+C68</f>
        <v>351.25599999999997</v>
      </c>
      <c r="D69" s="415">
        <f t="shared" ref="D69:J69" si="105">D56+D68</f>
        <v>360.28899999999999</v>
      </c>
      <c r="E69" s="415">
        <f t="shared" si="105"/>
        <v>415.976</v>
      </c>
      <c r="F69" s="415">
        <f t="shared" si="105"/>
        <v>534.06299999999999</v>
      </c>
      <c r="G69" s="416">
        <f t="shared" si="105"/>
        <v>426.33699999999999</v>
      </c>
      <c r="H69" s="415">
        <f t="shared" si="105"/>
        <v>463.79299999999995</v>
      </c>
      <c r="I69" s="416">
        <f t="shared" si="105"/>
        <v>460.60400000000004</v>
      </c>
      <c r="J69" s="415">
        <f t="shared" si="105"/>
        <v>452.43300000000005</v>
      </c>
      <c r="K69" s="416">
        <f t="shared" ref="K69" si="106">K56+K68</f>
        <v>623.07900000000006</v>
      </c>
      <c r="L69" s="416">
        <f t="shared" ref="L69" si="107">L56+L68</f>
        <v>593.88300000000004</v>
      </c>
      <c r="M69" s="415">
        <f t="shared" ref="M69" si="108">M56+M68</f>
        <v>587.25699999999995</v>
      </c>
      <c r="N69" s="416">
        <f t="shared" ref="N69" si="109">N56+N68</f>
        <v>722.51800000000003</v>
      </c>
      <c r="O69" s="417">
        <f t="shared" ref="O69" si="110">O56+O68</f>
        <v>3377.4880000000003</v>
      </c>
      <c r="P69" s="417">
        <f t="shared" ref="P69" si="111">P56+P68</f>
        <v>3545.0550000000003</v>
      </c>
      <c r="Q69" s="418">
        <f t="shared" ref="Q69" si="112">Q56+Q68</f>
        <v>3452.5050000000001</v>
      </c>
      <c r="R69" s="417">
        <f t="shared" ref="R69" si="113">R56+R68</f>
        <v>3411.9869999999996</v>
      </c>
      <c r="S69" s="417">
        <f t="shared" ref="S69" si="114">S56+S68</f>
        <v>3405.5320000000002</v>
      </c>
      <c r="T69" s="417">
        <f t="shared" ref="T69" si="115">T56+T68</f>
        <v>3159.9589999999994</v>
      </c>
      <c r="U69" s="412">
        <f t="shared" ref="U69:X69" si="116">U68+U56</f>
        <v>3092.942</v>
      </c>
      <c r="V69" s="413">
        <f t="shared" si="116"/>
        <v>3067.306</v>
      </c>
      <c r="W69" s="413">
        <f t="shared" si="116"/>
        <v>2945.4119999999998</v>
      </c>
      <c r="X69" s="413">
        <f t="shared" si="116"/>
        <v>2772.4030000000002</v>
      </c>
      <c r="Y69" s="412">
        <f t="shared" ref="Y69:Z69" si="117">Y68+Y56</f>
        <v>2675.0169999999998</v>
      </c>
      <c r="Z69" s="413">
        <f t="shared" si="117"/>
        <v>2742.8449999999998</v>
      </c>
      <c r="AA69" s="362">
        <f t="shared" ref="AA69:AD69" si="118">AA68+AA56</f>
        <v>18735.399999999998</v>
      </c>
      <c r="AB69" s="362">
        <f t="shared" si="118"/>
        <v>18350.5</v>
      </c>
      <c r="AC69" s="414">
        <f t="shared" si="118"/>
        <v>18260.528993427175</v>
      </c>
      <c r="AD69" s="362">
        <f t="shared" si="118"/>
        <v>17777</v>
      </c>
      <c r="AE69" s="362">
        <f t="shared" ref="AE69" si="119">AE68+AE56</f>
        <v>17584</v>
      </c>
      <c r="AF69" s="362">
        <f t="shared" ref="AF69:AH69" si="120">AF68+AF56</f>
        <v>16083.5</v>
      </c>
      <c r="AG69" s="365">
        <f t="shared" si="120"/>
        <v>16240.000000000002</v>
      </c>
      <c r="AH69" s="366">
        <f t="shared" si="120"/>
        <v>17950.3</v>
      </c>
      <c r="AI69" s="366">
        <f t="shared" ref="AI69:AJ69" si="121">AI68+AI56</f>
        <v>16819.5</v>
      </c>
      <c r="AJ69" s="366">
        <f t="shared" si="121"/>
        <v>16459.611153255708</v>
      </c>
      <c r="AK69" s="365">
        <f t="shared" ref="AK69:AL69" si="122">AK68+AK56</f>
        <v>16351.700000000003</v>
      </c>
      <c r="AL69" s="366">
        <f t="shared" si="122"/>
        <v>15904.9</v>
      </c>
      <c r="AM69" s="366">
        <f t="shared" ref="AM69:AN69" si="123">AM68+AM56</f>
        <v>15592.399999999998</v>
      </c>
      <c r="AN69" s="366">
        <f t="shared" si="123"/>
        <v>14932.699999999999</v>
      </c>
      <c r="AO69" s="366">
        <f t="shared" ref="AO69" si="124">AO68+AO56</f>
        <v>15639.2</v>
      </c>
      <c r="AP69" s="534">
        <f>AP68+AP56</f>
        <v>14989.4</v>
      </c>
      <c r="AQ69" s="534">
        <f t="shared" ref="AQ69:AS69" si="125">AQ68+AQ56</f>
        <v>0</v>
      </c>
      <c r="AR69" s="534">
        <f t="shared" si="125"/>
        <v>0</v>
      </c>
      <c r="AS69" s="366">
        <f t="shared" si="125"/>
        <v>0</v>
      </c>
    </row>
    <row r="70" spans="1:45" s="288" customFormat="1" ht="22.5" customHeight="1" thickBot="1">
      <c r="A70" s="419" t="s">
        <v>860</v>
      </c>
      <c r="B70" s="429" t="s">
        <v>37</v>
      </c>
      <c r="C70" s="420">
        <f>C69+C47</f>
        <v>257.64799999999997</v>
      </c>
      <c r="D70" s="420">
        <f t="shared" ref="D70:J70" si="126">D69+D47</f>
        <v>241.97799999999998</v>
      </c>
      <c r="E70" s="420">
        <f t="shared" si="126"/>
        <v>353.358</v>
      </c>
      <c r="F70" s="420">
        <f t="shared" si="126"/>
        <v>595.20299999999997</v>
      </c>
      <c r="G70" s="421">
        <f t="shared" si="126"/>
        <v>630.44000000000005</v>
      </c>
      <c r="H70" s="420">
        <f t="shared" si="126"/>
        <v>757.13099999999986</v>
      </c>
      <c r="I70" s="421">
        <f t="shared" si="126"/>
        <v>681.41300000000001</v>
      </c>
      <c r="J70" s="420">
        <f t="shared" si="126"/>
        <v>774.846</v>
      </c>
      <c r="K70" s="421">
        <f t="shared" ref="K70" si="127">K69+K47</f>
        <v>945.67500000000007</v>
      </c>
      <c r="L70" s="421">
        <f t="shared" ref="L70" si="128">L69+L47</f>
        <v>984.87200000000007</v>
      </c>
      <c r="M70" s="420">
        <f t="shared" ref="M70" si="129">M69+M47</f>
        <v>1015.1949999999999</v>
      </c>
      <c r="N70" s="422">
        <f t="shared" ref="N70" si="130">N69+N47</f>
        <v>1226.854</v>
      </c>
      <c r="O70" s="422">
        <f t="shared" ref="O70" si="131">O69+O47</f>
        <v>5248.0750000000007</v>
      </c>
      <c r="P70" s="422">
        <f t="shared" ref="P70" si="132">P69+P47</f>
        <v>5363.8690000000006</v>
      </c>
      <c r="Q70" s="423">
        <f t="shared" ref="Q70" si="133">Q69+Q47</f>
        <v>5348.5480000000007</v>
      </c>
      <c r="R70" s="422">
        <f t="shared" ref="R70" si="134">R69+R47</f>
        <v>5502.753999999999</v>
      </c>
      <c r="S70" s="422">
        <f t="shared" ref="S70" si="135">S69+S47</f>
        <v>5597.8009999999995</v>
      </c>
      <c r="T70" s="422">
        <f t="shared" ref="T70" si="136">T69+T47</f>
        <v>5514.8739999999998</v>
      </c>
      <c r="U70" s="424">
        <f t="shared" ref="U70:X70" si="137">U69+U47</f>
        <v>5561.3450000000003</v>
      </c>
      <c r="V70" s="425">
        <f t="shared" si="137"/>
        <v>5629.4740000000002</v>
      </c>
      <c r="W70" s="425">
        <f t="shared" si="137"/>
        <v>5592.7070000000003</v>
      </c>
      <c r="X70" s="425">
        <f t="shared" si="137"/>
        <v>5597.9809999999998</v>
      </c>
      <c r="Y70" s="424">
        <f t="shared" ref="Y70:Z70" si="138">Y69+Y47</f>
        <v>5676.23</v>
      </c>
      <c r="Z70" s="425">
        <f t="shared" si="138"/>
        <v>5851.1939999999995</v>
      </c>
      <c r="AA70" s="353">
        <f t="shared" ref="AA70:AD70" si="139">AA69+AA47</f>
        <v>27827.1</v>
      </c>
      <c r="AB70" s="353">
        <f t="shared" si="139"/>
        <v>27481.200000000001</v>
      </c>
      <c r="AC70" s="426">
        <f t="shared" si="139"/>
        <v>27338.728993427176</v>
      </c>
      <c r="AD70" s="353">
        <f t="shared" si="139"/>
        <v>27088.9</v>
      </c>
      <c r="AE70" s="353">
        <f t="shared" ref="AE70" si="140">AE69+AE47</f>
        <v>27141.800000000003</v>
      </c>
      <c r="AF70" s="353">
        <f t="shared" ref="AF70:AH70" si="141">AF69+AF47</f>
        <v>26143.5</v>
      </c>
      <c r="AG70" s="356">
        <f t="shared" si="141"/>
        <v>26490.100000000002</v>
      </c>
      <c r="AH70" s="357">
        <f t="shared" si="141"/>
        <v>28355.5</v>
      </c>
      <c r="AI70" s="357">
        <f t="shared" ref="AI70:AJ70" si="142">AI69+AI47</f>
        <v>27581.1</v>
      </c>
      <c r="AJ70" s="357">
        <f t="shared" si="142"/>
        <v>27493.111153255708</v>
      </c>
      <c r="AK70" s="356">
        <f t="shared" ref="AK70:AL70" si="143">AK69+AK47</f>
        <v>27729.300000000003</v>
      </c>
      <c r="AL70" s="357">
        <f t="shared" si="143"/>
        <v>27553.199999999997</v>
      </c>
      <c r="AM70" s="357">
        <f t="shared" ref="AM70:AN70" si="144">AM69+AM47</f>
        <v>27317.5</v>
      </c>
      <c r="AN70" s="357">
        <f t="shared" si="144"/>
        <v>26892.6</v>
      </c>
      <c r="AO70" s="357">
        <f t="shared" ref="AO70" si="145">AO69+AO47</f>
        <v>27756</v>
      </c>
      <c r="AP70" s="357">
        <f>AP69+AP47</f>
        <v>27894.400000000001</v>
      </c>
      <c r="AQ70" s="357">
        <f t="shared" ref="AQ70:AS70" si="146">AQ69+AQ47</f>
        <v>0</v>
      </c>
      <c r="AR70" s="357">
        <f t="shared" si="146"/>
        <v>0</v>
      </c>
      <c r="AS70" s="357">
        <f t="shared" si="146"/>
        <v>0</v>
      </c>
    </row>
    <row r="71" spans="1:45" s="35" customFormat="1">
      <c r="A71" s="398"/>
      <c r="B71" s="136"/>
      <c r="C71" s="136"/>
      <c r="D71" s="136"/>
      <c r="E71" s="136"/>
      <c r="F71" s="136"/>
      <c r="G71" s="136"/>
      <c r="I71" s="37"/>
      <c r="J71" s="37"/>
      <c r="K71" s="37"/>
      <c r="AA71" s="138"/>
      <c r="AB71" s="138"/>
      <c r="AF71" s="138"/>
      <c r="AP71" s="156"/>
      <c r="AQ71" s="156"/>
      <c r="AR71" s="156"/>
      <c r="AS71" s="156"/>
    </row>
    <row r="72" spans="1:45" s="35" customFormat="1">
      <c r="B72" s="136"/>
      <c r="C72" s="136"/>
      <c r="D72" s="136"/>
      <c r="E72" s="136"/>
      <c r="F72" s="136"/>
      <c r="G72" s="136"/>
      <c r="I72" s="137"/>
      <c r="J72" s="137"/>
      <c r="K72" s="137"/>
      <c r="AA72" s="138"/>
      <c r="AB72" s="138"/>
      <c r="AF72" s="138"/>
      <c r="AP72" s="156"/>
      <c r="AQ72" s="156"/>
      <c r="AR72" s="156"/>
      <c r="AS72" s="156"/>
    </row>
    <row r="73" spans="1:45" s="35" customFormat="1" ht="73.5">
      <c r="A73" s="430" t="s">
        <v>891</v>
      </c>
      <c r="B73" s="512" t="s">
        <v>773</v>
      </c>
      <c r="C73" s="512"/>
      <c r="D73" s="512"/>
      <c r="E73" s="512"/>
      <c r="F73" s="512"/>
      <c r="G73" s="512"/>
      <c r="H73" s="512"/>
      <c r="I73" s="139"/>
      <c r="J73" s="140"/>
      <c r="K73" s="140"/>
      <c r="AA73" s="138"/>
      <c r="AB73" s="138"/>
      <c r="AF73" s="138"/>
      <c r="AP73" s="156"/>
      <c r="AQ73" s="156"/>
      <c r="AR73" s="156"/>
      <c r="AS73" s="156"/>
    </row>
    <row r="74" spans="1:45" s="35" customFormat="1" ht="37.5">
      <c r="A74" s="430" t="s">
        <v>886</v>
      </c>
      <c r="B74" s="512" t="s">
        <v>772</v>
      </c>
      <c r="C74" s="509"/>
      <c r="D74" s="509"/>
      <c r="E74" s="509"/>
      <c r="F74" s="509"/>
      <c r="G74" s="509"/>
      <c r="H74" s="509"/>
      <c r="I74" s="137"/>
      <c r="J74" s="137"/>
      <c r="K74" s="137"/>
      <c r="AA74" s="138"/>
      <c r="AB74" s="138"/>
      <c r="AF74" s="138"/>
      <c r="AP74" s="156"/>
      <c r="AQ74" s="156"/>
      <c r="AR74" s="156"/>
      <c r="AS74" s="156"/>
    </row>
    <row r="75" spans="1:45" s="35" customFormat="1" ht="25.5">
      <c r="A75" s="430" t="s">
        <v>887</v>
      </c>
      <c r="B75" s="512" t="s">
        <v>771</v>
      </c>
      <c r="C75" s="509"/>
      <c r="D75" s="509"/>
      <c r="E75" s="509"/>
      <c r="F75" s="509"/>
      <c r="G75" s="509"/>
      <c r="H75" s="509"/>
      <c r="I75" s="140"/>
      <c r="J75" s="140"/>
      <c r="K75" s="141"/>
      <c r="AA75" s="138"/>
      <c r="AB75" s="138"/>
      <c r="AF75" s="138"/>
      <c r="AP75" s="156"/>
      <c r="AQ75" s="156"/>
      <c r="AR75" s="156"/>
      <c r="AS75" s="156"/>
    </row>
    <row r="76" spans="1:45" s="35" customFormat="1" ht="22.5" customHeight="1">
      <c r="A76" s="430" t="s">
        <v>888</v>
      </c>
      <c r="B76" s="512" t="s">
        <v>774</v>
      </c>
      <c r="C76" s="509"/>
      <c r="D76" s="509"/>
      <c r="E76" s="509"/>
      <c r="F76" s="509"/>
      <c r="G76" s="509"/>
      <c r="H76" s="509"/>
      <c r="I76" s="37"/>
      <c r="J76" s="37"/>
      <c r="K76" s="37"/>
      <c r="AA76" s="138"/>
      <c r="AB76" s="138"/>
      <c r="AF76" s="138"/>
      <c r="AP76" s="156"/>
      <c r="AQ76" s="156"/>
      <c r="AR76" s="156"/>
      <c r="AS76" s="156"/>
    </row>
    <row r="77" spans="1:45" s="35" customFormat="1" ht="25.5">
      <c r="A77" s="430" t="s">
        <v>889</v>
      </c>
      <c r="B77" s="512" t="s">
        <v>775</v>
      </c>
      <c r="C77" s="509"/>
      <c r="D77" s="509"/>
      <c r="E77" s="509"/>
      <c r="F77" s="509"/>
      <c r="G77" s="509"/>
      <c r="H77" s="509"/>
      <c r="I77" s="37"/>
      <c r="J77" s="37"/>
      <c r="K77" s="37"/>
      <c r="AA77" s="138"/>
      <c r="AB77" s="138"/>
      <c r="AF77" s="138"/>
      <c r="AP77" s="156"/>
      <c r="AQ77" s="156"/>
      <c r="AR77" s="156"/>
      <c r="AS77" s="156"/>
    </row>
    <row r="78" spans="1:45" s="35" customFormat="1">
      <c r="A78" s="36"/>
      <c r="I78" s="37"/>
      <c r="J78" s="37"/>
      <c r="K78" s="37"/>
      <c r="AA78" s="138"/>
      <c r="AB78" s="138"/>
      <c r="AF78" s="138"/>
      <c r="AP78" s="156"/>
      <c r="AQ78" s="156"/>
      <c r="AR78" s="156"/>
      <c r="AS78" s="156"/>
    </row>
    <row r="80" spans="1:45">
      <c r="B80" s="262"/>
    </row>
    <row r="81" spans="2:2">
      <c r="B81" s="262"/>
    </row>
  </sheetData>
  <phoneticPr fontId="15" type="noConversion"/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157"/>
  <sheetViews>
    <sheetView showGridLines="0" topLeftCell="A38" zoomScale="80" zoomScaleNormal="80" zoomScaleSheetLayoutView="110" workbookViewId="0">
      <pane xSplit="1" topLeftCell="AI1" activePane="topRight" state="frozen"/>
      <selection pane="topRight" activeCell="AP68" sqref="AP68"/>
    </sheetView>
  </sheetViews>
  <sheetFormatPr defaultColWidth="9" defaultRowHeight="13" outlineLevelCol="1"/>
  <cols>
    <col min="1" max="1" width="58" style="22" customWidth="1"/>
    <col min="2" max="2" width="66.33203125" style="22" customWidth="1"/>
    <col min="3" max="5" width="14.58203125" style="22" customWidth="1"/>
    <col min="6" max="6" width="14.58203125" style="22" customWidth="1" outlineLevel="1"/>
    <col min="7" max="7" width="14.58203125" style="22" customWidth="1"/>
    <col min="8" max="8" width="14.58203125" style="22" customWidth="1" outlineLevel="1"/>
    <col min="9" max="9" width="14.58203125" style="7" customWidth="1"/>
    <col min="10" max="11" width="14.58203125" style="22" customWidth="1" outlineLevel="1"/>
    <col min="12" max="39" width="14.58203125" style="22" customWidth="1"/>
    <col min="40" max="40" width="15.58203125" style="22" customWidth="1"/>
    <col min="41" max="41" width="14.58203125" style="22" customWidth="1"/>
    <col min="42" max="42" width="14.58203125" style="143" customWidth="1"/>
    <col min="43" max="43" width="14.58203125" style="22" customWidth="1"/>
    <col min="44" max="44" width="15.75" style="22" customWidth="1"/>
    <col min="45" max="45" width="14.58203125" style="22" customWidth="1"/>
    <col min="46" max="16384" width="9" style="22"/>
  </cols>
  <sheetData>
    <row r="1" spans="1:251" ht="28.5" customHeight="1" thickBot="1">
      <c r="A1" s="431" t="s">
        <v>791</v>
      </c>
      <c r="B1" s="432" t="s">
        <v>749</v>
      </c>
      <c r="I1" s="22"/>
      <c r="J1" s="7"/>
      <c r="AP1" s="544"/>
    </row>
    <row r="2" spans="1:251" ht="15.5">
      <c r="A2" s="435" t="s">
        <v>952</v>
      </c>
      <c r="B2" s="436"/>
      <c r="C2" s="490" t="s">
        <v>996</v>
      </c>
      <c r="D2" s="490" t="s">
        <v>996</v>
      </c>
      <c r="E2" s="490" t="s">
        <v>996</v>
      </c>
      <c r="F2" s="490" t="s">
        <v>996</v>
      </c>
      <c r="G2" s="487" t="s">
        <v>997</v>
      </c>
      <c r="H2" s="490" t="s">
        <v>996</v>
      </c>
      <c r="I2" s="487" t="s">
        <v>997</v>
      </c>
      <c r="J2" s="490" t="s">
        <v>996</v>
      </c>
      <c r="K2" s="487" t="s">
        <v>997</v>
      </c>
      <c r="L2" s="487" t="s">
        <v>998</v>
      </c>
      <c r="M2" s="490" t="s">
        <v>996</v>
      </c>
      <c r="N2" s="487" t="s">
        <v>999</v>
      </c>
      <c r="O2" s="487" t="s">
        <v>997</v>
      </c>
      <c r="P2" s="487" t="s">
        <v>998</v>
      </c>
      <c r="Q2" s="490" t="s">
        <v>996</v>
      </c>
      <c r="R2" s="487" t="s">
        <v>1000</v>
      </c>
      <c r="S2" s="487" t="s">
        <v>997</v>
      </c>
      <c r="T2" s="487" t="s">
        <v>998</v>
      </c>
      <c r="U2" s="490" t="s">
        <v>996</v>
      </c>
      <c r="V2" s="487" t="s">
        <v>999</v>
      </c>
      <c r="W2" s="487" t="s">
        <v>997</v>
      </c>
      <c r="X2" s="487" t="s">
        <v>998</v>
      </c>
      <c r="Y2" s="490" t="s">
        <v>996</v>
      </c>
      <c r="Z2" s="487" t="s">
        <v>999</v>
      </c>
      <c r="AA2" s="487" t="s">
        <v>997</v>
      </c>
      <c r="AB2" s="487" t="s">
        <v>998</v>
      </c>
      <c r="AC2" s="490" t="s">
        <v>996</v>
      </c>
      <c r="AD2" s="487" t="s">
        <v>999</v>
      </c>
      <c r="AE2" s="487" t="s">
        <v>997</v>
      </c>
      <c r="AF2" s="487" t="s">
        <v>998</v>
      </c>
      <c r="AG2" s="490" t="s">
        <v>996</v>
      </c>
      <c r="AH2" s="487" t="s">
        <v>999</v>
      </c>
      <c r="AI2" s="487" t="s">
        <v>997</v>
      </c>
      <c r="AJ2" s="487" t="s">
        <v>998</v>
      </c>
      <c r="AK2" s="490" t="s">
        <v>996</v>
      </c>
      <c r="AL2" s="487" t="s">
        <v>999</v>
      </c>
      <c r="AM2" s="487" t="s">
        <v>997</v>
      </c>
      <c r="AN2" s="487" t="s">
        <v>998</v>
      </c>
      <c r="AO2" s="490" t="s">
        <v>996</v>
      </c>
      <c r="AP2" s="487" t="s">
        <v>999</v>
      </c>
      <c r="AQ2" s="487" t="s">
        <v>997</v>
      </c>
      <c r="AR2" s="487" t="s">
        <v>998</v>
      </c>
      <c r="AS2" s="490" t="s">
        <v>996</v>
      </c>
    </row>
    <row r="3" spans="1:251" ht="26.5" thickBot="1">
      <c r="A3" s="443" t="s">
        <v>830</v>
      </c>
      <c r="B3" s="444"/>
      <c r="C3" s="491" t="s">
        <v>962</v>
      </c>
      <c r="D3" s="491" t="s">
        <v>1001</v>
      </c>
      <c r="E3" s="491" t="s">
        <v>964</v>
      </c>
      <c r="F3" s="491" t="s">
        <v>1002</v>
      </c>
      <c r="G3" s="488" t="s">
        <v>1003</v>
      </c>
      <c r="H3" s="491" t="s">
        <v>1004</v>
      </c>
      <c r="I3" s="488" t="s">
        <v>1005</v>
      </c>
      <c r="J3" s="491" t="s">
        <v>1006</v>
      </c>
      <c r="K3" s="488" t="s">
        <v>1007</v>
      </c>
      <c r="L3" s="488" t="s">
        <v>1008</v>
      </c>
      <c r="M3" s="491" t="s">
        <v>972</v>
      </c>
      <c r="N3" s="488" t="s">
        <v>1009</v>
      </c>
      <c r="O3" s="488" t="s">
        <v>973</v>
      </c>
      <c r="P3" s="488" t="s">
        <v>974</v>
      </c>
      <c r="Q3" s="491" t="s">
        <v>1010</v>
      </c>
      <c r="R3" s="488" t="s">
        <v>976</v>
      </c>
      <c r="S3" s="488" t="s">
        <v>977</v>
      </c>
      <c r="T3" s="488" t="s">
        <v>978</v>
      </c>
      <c r="U3" s="491" t="s">
        <v>979</v>
      </c>
      <c r="V3" s="488" t="s">
        <v>980</v>
      </c>
      <c r="W3" s="488" t="s">
        <v>981</v>
      </c>
      <c r="X3" s="488" t="s">
        <v>982</v>
      </c>
      <c r="Y3" s="491" t="s">
        <v>983</v>
      </c>
      <c r="Z3" s="488" t="s">
        <v>984</v>
      </c>
      <c r="AA3" s="488" t="s">
        <v>985</v>
      </c>
      <c r="AB3" s="488" t="s">
        <v>986</v>
      </c>
      <c r="AC3" s="491" t="s">
        <v>1011</v>
      </c>
      <c r="AD3" s="488" t="s">
        <v>988</v>
      </c>
      <c r="AE3" s="488" t="s">
        <v>989</v>
      </c>
      <c r="AF3" s="488" t="s">
        <v>990</v>
      </c>
      <c r="AG3" s="491" t="s">
        <v>991</v>
      </c>
      <c r="AH3" s="488" t="s">
        <v>992</v>
      </c>
      <c r="AI3" s="488" t="s">
        <v>993</v>
      </c>
      <c r="AJ3" s="488" t="s">
        <v>1012</v>
      </c>
      <c r="AK3" s="491" t="s">
        <v>995</v>
      </c>
      <c r="AL3" s="556" t="s">
        <v>1071</v>
      </c>
      <c r="AM3" s="556" t="s">
        <v>1072</v>
      </c>
      <c r="AN3" s="556" t="s">
        <v>1073</v>
      </c>
      <c r="AO3" s="491" t="s">
        <v>1074</v>
      </c>
      <c r="AP3" s="556" t="s">
        <v>1069</v>
      </c>
      <c r="AQ3" s="556" t="s">
        <v>1085</v>
      </c>
      <c r="AR3" s="556" t="s">
        <v>1086</v>
      </c>
      <c r="AS3" s="491" t="s">
        <v>1087</v>
      </c>
    </row>
    <row r="4" spans="1:251" ht="15.5">
      <c r="A4" s="435"/>
      <c r="B4" s="436" t="s">
        <v>953</v>
      </c>
      <c r="C4" s="490" t="s">
        <v>38</v>
      </c>
      <c r="D4" s="490" t="s">
        <v>38</v>
      </c>
      <c r="E4" s="490" t="s">
        <v>38</v>
      </c>
      <c r="F4" s="490" t="s">
        <v>38</v>
      </c>
      <c r="G4" s="487" t="s">
        <v>39</v>
      </c>
      <c r="H4" s="490" t="s">
        <v>38</v>
      </c>
      <c r="I4" s="487" t="s">
        <v>39</v>
      </c>
      <c r="J4" s="490" t="s">
        <v>38</v>
      </c>
      <c r="K4" s="487" t="s">
        <v>39</v>
      </c>
      <c r="L4" s="487" t="s">
        <v>79</v>
      </c>
      <c r="M4" s="490" t="s">
        <v>38</v>
      </c>
      <c r="N4" s="487" t="s">
        <v>87</v>
      </c>
      <c r="O4" s="487" t="s">
        <v>39</v>
      </c>
      <c r="P4" s="487" t="s">
        <v>79</v>
      </c>
      <c r="Q4" s="490" t="s">
        <v>38</v>
      </c>
      <c r="R4" s="487" t="s">
        <v>87</v>
      </c>
      <c r="S4" s="487" t="s">
        <v>39</v>
      </c>
      <c r="T4" s="487" t="s">
        <v>79</v>
      </c>
      <c r="U4" s="490" t="s">
        <v>38</v>
      </c>
      <c r="V4" s="487" t="s">
        <v>87</v>
      </c>
      <c r="W4" s="487" t="s">
        <v>39</v>
      </c>
      <c r="X4" s="487" t="s">
        <v>79</v>
      </c>
      <c r="Y4" s="490" t="s">
        <v>38</v>
      </c>
      <c r="Z4" s="487" t="s">
        <v>87</v>
      </c>
      <c r="AA4" s="487" t="s">
        <v>39</v>
      </c>
      <c r="AB4" s="487" t="s">
        <v>79</v>
      </c>
      <c r="AC4" s="490" t="s">
        <v>38</v>
      </c>
      <c r="AD4" s="487" t="s">
        <v>87</v>
      </c>
      <c r="AE4" s="487" t="s">
        <v>39</v>
      </c>
      <c r="AF4" s="487" t="s">
        <v>79</v>
      </c>
      <c r="AG4" s="490" t="s">
        <v>38</v>
      </c>
      <c r="AH4" s="487" t="s">
        <v>87</v>
      </c>
      <c r="AI4" s="487" t="s">
        <v>769</v>
      </c>
      <c r="AJ4" s="487" t="s">
        <v>79</v>
      </c>
      <c r="AK4" s="490" t="s">
        <v>38</v>
      </c>
      <c r="AL4" s="487" t="s">
        <v>87</v>
      </c>
      <c r="AM4" s="487" t="s">
        <v>39</v>
      </c>
      <c r="AN4" s="487" t="s">
        <v>79</v>
      </c>
      <c r="AO4" s="490" t="s">
        <v>38</v>
      </c>
      <c r="AP4" s="487" t="s">
        <v>87</v>
      </c>
      <c r="AQ4" s="487" t="s">
        <v>39</v>
      </c>
      <c r="AR4" s="487" t="s">
        <v>79</v>
      </c>
      <c r="AS4" s="490" t="s">
        <v>38</v>
      </c>
    </row>
    <row r="5" spans="1:251" ht="39.5" thickBot="1">
      <c r="A5" s="443"/>
      <c r="B5" s="444" t="s">
        <v>180</v>
      </c>
      <c r="C5" s="491" t="s">
        <v>6</v>
      </c>
      <c r="D5" s="491" t="s">
        <v>7</v>
      </c>
      <c r="E5" s="491" t="s">
        <v>8</v>
      </c>
      <c r="F5" s="491" t="s">
        <v>40</v>
      </c>
      <c r="G5" s="489" t="s">
        <v>10</v>
      </c>
      <c r="H5" s="491" t="s">
        <v>62</v>
      </c>
      <c r="I5" s="489" t="s">
        <v>68</v>
      </c>
      <c r="J5" s="491" t="s">
        <v>69</v>
      </c>
      <c r="K5" s="489" t="s">
        <v>74</v>
      </c>
      <c r="L5" s="489" t="s">
        <v>78</v>
      </c>
      <c r="M5" s="491" t="s">
        <v>82</v>
      </c>
      <c r="N5" s="489" t="s">
        <v>86</v>
      </c>
      <c r="O5" s="489" t="s">
        <v>95</v>
      </c>
      <c r="P5" s="489" t="s">
        <v>109</v>
      </c>
      <c r="Q5" s="491" t="s">
        <v>113</v>
      </c>
      <c r="R5" s="489" t="s">
        <v>121</v>
      </c>
      <c r="S5" s="489" t="s">
        <v>124</v>
      </c>
      <c r="T5" s="489" t="s">
        <v>129</v>
      </c>
      <c r="U5" s="491" t="s">
        <v>132</v>
      </c>
      <c r="V5" s="489" t="s">
        <v>140</v>
      </c>
      <c r="W5" s="489" t="s">
        <v>143</v>
      </c>
      <c r="X5" s="489" t="s">
        <v>153</v>
      </c>
      <c r="Y5" s="491" t="s">
        <v>156</v>
      </c>
      <c r="Z5" s="489" t="s">
        <v>159</v>
      </c>
      <c r="AA5" s="489" t="s">
        <v>181</v>
      </c>
      <c r="AB5" s="489" t="s">
        <v>731</v>
      </c>
      <c r="AC5" s="491" t="s">
        <v>734</v>
      </c>
      <c r="AD5" s="489" t="s">
        <v>738</v>
      </c>
      <c r="AE5" s="489" t="s">
        <v>744</v>
      </c>
      <c r="AF5" s="489" t="s">
        <v>747</v>
      </c>
      <c r="AG5" s="491" t="s">
        <v>758</v>
      </c>
      <c r="AH5" s="489" t="s">
        <v>760</v>
      </c>
      <c r="AI5" s="489" t="s">
        <v>768</v>
      </c>
      <c r="AJ5" s="489" t="s">
        <v>782</v>
      </c>
      <c r="AK5" s="491" t="s">
        <v>954</v>
      </c>
      <c r="AL5" s="557" t="s">
        <v>1075</v>
      </c>
      <c r="AM5" s="557" t="s">
        <v>1076</v>
      </c>
      <c r="AN5" s="557" t="s">
        <v>1077</v>
      </c>
      <c r="AO5" s="491" t="s">
        <v>1078</v>
      </c>
      <c r="AP5" s="557" t="s">
        <v>1092</v>
      </c>
      <c r="AQ5" s="557" t="s">
        <v>1093</v>
      </c>
      <c r="AR5" s="557" t="s">
        <v>1094</v>
      </c>
      <c r="AS5" s="491" t="s">
        <v>1088</v>
      </c>
    </row>
    <row r="6" spans="1:251" s="25" customFormat="1" ht="20.149999999999999" customHeight="1" thickBot="1">
      <c r="A6" s="399" t="s">
        <v>892</v>
      </c>
      <c r="B6" s="399" t="s">
        <v>41</v>
      </c>
      <c r="C6" s="445">
        <v>26.4</v>
      </c>
      <c r="D6" s="445">
        <v>-34.703000000000003</v>
      </c>
      <c r="E6" s="445">
        <v>55.720999999999997</v>
      </c>
      <c r="F6" s="445">
        <v>113.423</v>
      </c>
      <c r="G6" s="446">
        <v>142.96299999999999</v>
      </c>
      <c r="H6" s="445">
        <v>269.76300000000003</v>
      </c>
      <c r="I6" s="446">
        <v>128.715</v>
      </c>
      <c r="J6" s="445">
        <v>230.31900000000002</v>
      </c>
      <c r="K6" s="446">
        <v>153.12800000000001</v>
      </c>
      <c r="L6" s="446">
        <v>221.52100000000002</v>
      </c>
      <c r="M6" s="445">
        <v>258.47000000000003</v>
      </c>
      <c r="N6" s="447">
        <v>76.397999999999996</v>
      </c>
      <c r="O6" s="447">
        <v>145.88</v>
      </c>
      <c r="P6" s="447">
        <v>83.893000000000001</v>
      </c>
      <c r="Q6" s="448">
        <v>160.19</v>
      </c>
      <c r="R6" s="447">
        <v>205.10900000000001</v>
      </c>
      <c r="S6" s="447">
        <v>304.61200000000002</v>
      </c>
      <c r="T6" s="447">
        <v>476.67400000000004</v>
      </c>
      <c r="U6" s="448">
        <v>598.298</v>
      </c>
      <c r="V6" s="447">
        <v>95.105000000000004</v>
      </c>
      <c r="W6" s="447">
        <v>175.85</v>
      </c>
      <c r="X6" s="447">
        <v>352.30099999999999</v>
      </c>
      <c r="Y6" s="448">
        <v>525.44500000000005</v>
      </c>
      <c r="Z6" s="447">
        <v>98.171999999999997</v>
      </c>
      <c r="AA6" s="284">
        <f>'Rach. zysków i strat-nowy układ'!N27+'Rach. zysków i strat-nowy układ'!M27</f>
        <v>230.29999999999967</v>
      </c>
      <c r="AB6" s="284">
        <v>278.5</v>
      </c>
      <c r="AC6" s="283">
        <f>'Rach. zysków i strat-nowy układ'!Q27</f>
        <v>292.49999999999926</v>
      </c>
      <c r="AD6" s="284">
        <v>170.8</v>
      </c>
      <c r="AE6" s="284">
        <v>475.29999999999984</v>
      </c>
      <c r="AF6" s="284">
        <f>SUM('Rach. zysków i strat-nowy układ'!R27:T27)</f>
        <v>977.7999999999995</v>
      </c>
      <c r="AG6" s="283">
        <v>1163.3999999999994</v>
      </c>
      <c r="AH6" s="284">
        <v>178.5</v>
      </c>
      <c r="AI6" s="284">
        <v>409.4</v>
      </c>
      <c r="AJ6" s="284">
        <v>679.2</v>
      </c>
      <c r="AK6" s="283">
        <v>1021.0000000000001</v>
      </c>
      <c r="AL6" s="284">
        <v>271.39999999999998</v>
      </c>
      <c r="AM6" s="284">
        <v>553.1</v>
      </c>
      <c r="AN6" s="284">
        <v>788</v>
      </c>
      <c r="AO6" s="283">
        <v>945.2</v>
      </c>
      <c r="AP6" s="284">
        <v>292.2</v>
      </c>
      <c r="AQ6" s="284"/>
      <c r="AR6" s="284"/>
      <c r="AS6" s="283"/>
    </row>
    <row r="7" spans="1:251" s="25" customFormat="1" ht="20.149999999999999" customHeight="1" thickBot="1">
      <c r="A7" s="399" t="s">
        <v>893</v>
      </c>
      <c r="B7" s="399" t="s">
        <v>42</v>
      </c>
      <c r="C7" s="445">
        <f>SUM(C8:C32)</f>
        <v>3.7510000000000043</v>
      </c>
      <c r="D7" s="445">
        <f t="shared" ref="D7:AO7" si="0">SUM(D8:D32)</f>
        <v>95.041999999999987</v>
      </c>
      <c r="E7" s="445">
        <f t="shared" si="0"/>
        <v>22.615000000000006</v>
      </c>
      <c r="F7" s="445">
        <f t="shared" si="0"/>
        <v>21.30800000000001</v>
      </c>
      <c r="G7" s="446">
        <f t="shared" si="0"/>
        <v>-40.480000000000018</v>
      </c>
      <c r="H7" s="445">
        <f t="shared" si="0"/>
        <v>94.039999999999992</v>
      </c>
      <c r="I7" s="446">
        <f t="shared" si="0"/>
        <v>-90.52600000000001</v>
      </c>
      <c r="J7" s="445">
        <f t="shared" si="0"/>
        <v>-0.18599999999998973</v>
      </c>
      <c r="K7" s="446">
        <f t="shared" si="0"/>
        <v>-120.79600000000002</v>
      </c>
      <c r="L7" s="446">
        <f t="shared" si="0"/>
        <v>-127.592</v>
      </c>
      <c r="M7" s="445">
        <f t="shared" si="0"/>
        <v>-50.15799999999998</v>
      </c>
      <c r="N7" s="446">
        <f t="shared" si="0"/>
        <v>-76.418000000000006</v>
      </c>
      <c r="O7" s="446">
        <f t="shared" si="0"/>
        <v>-50.425000000000004</v>
      </c>
      <c r="P7" s="446">
        <f t="shared" si="0"/>
        <v>174.90400000000005</v>
      </c>
      <c r="Q7" s="445">
        <f t="shared" si="0"/>
        <v>210.72700000000009</v>
      </c>
      <c r="R7" s="446">
        <f t="shared" si="0"/>
        <v>28.31799999999998</v>
      </c>
      <c r="S7" s="446">
        <f t="shared" si="0"/>
        <v>110.99899999999997</v>
      </c>
      <c r="T7" s="446">
        <f t="shared" si="0"/>
        <v>152.09600000000003</v>
      </c>
      <c r="U7" s="448">
        <f t="shared" si="0"/>
        <v>244.9200000000001</v>
      </c>
      <c r="V7" s="447">
        <f t="shared" si="0"/>
        <v>70.556999999999988</v>
      </c>
      <c r="W7" s="447">
        <f t="shared" si="0"/>
        <v>176.07799999999997</v>
      </c>
      <c r="X7" s="447">
        <f t="shared" si="0"/>
        <v>195.94300000000001</v>
      </c>
      <c r="Y7" s="448">
        <f t="shared" si="0"/>
        <v>334.28999999999991</v>
      </c>
      <c r="Z7" s="447">
        <f t="shared" si="0"/>
        <v>86.532000000000011</v>
      </c>
      <c r="AA7" s="284">
        <f t="shared" si="0"/>
        <v>505.40000000000015</v>
      </c>
      <c r="AB7" s="284">
        <f t="shared" si="0"/>
        <v>1145.4000000000003</v>
      </c>
      <c r="AC7" s="283">
        <f t="shared" si="0"/>
        <v>1825.2999999999997</v>
      </c>
      <c r="AD7" s="284">
        <f t="shared" si="0"/>
        <v>282.2000000000001</v>
      </c>
      <c r="AE7" s="284">
        <f t="shared" si="0"/>
        <v>852.69999999999982</v>
      </c>
      <c r="AF7" s="284">
        <f t="shared" si="0"/>
        <v>1195.6999999999994</v>
      </c>
      <c r="AG7" s="283">
        <f t="shared" si="0"/>
        <v>1821.6999999999998</v>
      </c>
      <c r="AH7" s="284">
        <f t="shared" si="0"/>
        <v>405.9</v>
      </c>
      <c r="AI7" s="284">
        <f t="shared" si="0"/>
        <v>1140</v>
      </c>
      <c r="AJ7" s="284">
        <f t="shared" si="0"/>
        <v>1678.3000000000002</v>
      </c>
      <c r="AK7" s="283">
        <f t="shared" si="0"/>
        <v>2130.5</v>
      </c>
      <c r="AL7" s="284">
        <f t="shared" si="0"/>
        <v>509.29999999999995</v>
      </c>
      <c r="AM7" s="284">
        <f t="shared" si="0"/>
        <v>1062.8</v>
      </c>
      <c r="AN7" s="284">
        <f t="shared" si="0"/>
        <v>1457.6999999999998</v>
      </c>
      <c r="AO7" s="283">
        <f t="shared" si="0"/>
        <v>2181.1000000000004</v>
      </c>
      <c r="AP7" s="284">
        <f>SUM(AP9:AP32)</f>
        <v>340.90000000000009</v>
      </c>
      <c r="AQ7" s="284"/>
      <c r="AR7" s="284"/>
      <c r="AS7" s="283"/>
    </row>
    <row r="8" spans="1:251" s="25" customFormat="1" ht="20.149999999999999" customHeight="1">
      <c r="A8" s="438" t="s">
        <v>894</v>
      </c>
      <c r="B8" s="437" t="s">
        <v>2</v>
      </c>
      <c r="C8" s="224">
        <v>61.143999999999998</v>
      </c>
      <c r="D8" s="224">
        <v>50.116</v>
      </c>
      <c r="E8" s="224">
        <v>32.533999999999999</v>
      </c>
      <c r="F8" s="224">
        <v>20.777000000000001</v>
      </c>
      <c r="G8" s="226">
        <v>9.2959999999999994</v>
      </c>
      <c r="H8" s="224">
        <v>23.547000000000001</v>
      </c>
      <c r="I8" s="228">
        <v>17.916</v>
      </c>
      <c r="J8" s="224">
        <v>41.948</v>
      </c>
      <c r="K8" s="228">
        <v>34.962000000000003</v>
      </c>
      <c r="L8" s="228">
        <v>57.015999999999998</v>
      </c>
      <c r="M8" s="224">
        <v>81.19</v>
      </c>
      <c r="N8" s="229"/>
      <c r="O8" s="229"/>
      <c r="P8" s="229"/>
      <c r="Q8" s="230"/>
      <c r="R8" s="229"/>
      <c r="S8" s="229"/>
      <c r="T8" s="229"/>
      <c r="U8" s="230"/>
      <c r="V8" s="229"/>
      <c r="W8" s="229"/>
      <c r="X8" s="229"/>
      <c r="Y8" s="230"/>
      <c r="Z8" s="229"/>
      <c r="AA8" s="231"/>
      <c r="AB8" s="231"/>
      <c r="AC8" s="232"/>
      <c r="AD8" s="231"/>
      <c r="AE8" s="231"/>
      <c r="AF8" s="231"/>
      <c r="AG8" s="232"/>
      <c r="AH8" s="231"/>
      <c r="AI8" s="231"/>
      <c r="AJ8" s="231"/>
      <c r="AK8" s="232"/>
      <c r="AL8" s="231"/>
      <c r="AM8" s="231"/>
      <c r="AN8" s="231"/>
      <c r="AO8" s="232"/>
      <c r="AP8" s="507"/>
      <c r="AS8" s="232"/>
    </row>
    <row r="9" spans="1:251" s="25" customFormat="1" ht="20.149999999999999" customHeight="1">
      <c r="A9" s="438" t="s">
        <v>802</v>
      </c>
      <c r="B9" s="437" t="s">
        <v>157</v>
      </c>
      <c r="C9" s="230">
        <v>0</v>
      </c>
      <c r="D9" s="230">
        <v>0</v>
      </c>
      <c r="E9" s="230">
        <v>0</v>
      </c>
      <c r="F9" s="230">
        <v>0</v>
      </c>
      <c r="G9" s="229">
        <v>0</v>
      </c>
      <c r="H9" s="230">
        <v>0</v>
      </c>
      <c r="I9" s="229">
        <v>0</v>
      </c>
      <c r="J9" s="230">
        <v>0</v>
      </c>
      <c r="K9" s="229">
        <v>0</v>
      </c>
      <c r="L9" s="229">
        <v>0</v>
      </c>
      <c r="M9" s="230">
        <v>0</v>
      </c>
      <c r="N9" s="229">
        <v>28.34</v>
      </c>
      <c r="O9" s="229">
        <v>73.094999999999999</v>
      </c>
      <c r="P9" s="229">
        <v>121.349</v>
      </c>
      <c r="Q9" s="230">
        <v>174.88</v>
      </c>
      <c r="R9" s="229">
        <v>54.433</v>
      </c>
      <c r="S9" s="229">
        <v>111.117</v>
      </c>
      <c r="T9" s="229">
        <v>171.35499999999999</v>
      </c>
      <c r="U9" s="230">
        <v>243.066</v>
      </c>
      <c r="V9" s="229">
        <v>60.698</v>
      </c>
      <c r="W9" s="229">
        <v>122.961</v>
      </c>
      <c r="X9" s="229">
        <v>187.82599999999999</v>
      </c>
      <c r="Y9" s="230">
        <v>256.416</v>
      </c>
      <c r="Z9" s="229">
        <v>62.434000000000005</v>
      </c>
      <c r="AA9" s="231">
        <v>373.8</v>
      </c>
      <c r="AB9" s="231">
        <v>852.1</v>
      </c>
      <c r="AC9" s="232">
        <v>1295.9000000000001</v>
      </c>
      <c r="AD9" s="231">
        <v>467.9</v>
      </c>
      <c r="AE9" s="231">
        <v>861.4</v>
      </c>
      <c r="AF9" s="231">
        <v>1262.5999999999999</v>
      </c>
      <c r="AG9" s="232">
        <v>1699.3</v>
      </c>
      <c r="AH9" s="231">
        <v>423.7</v>
      </c>
      <c r="AI9" s="231">
        <v>951.2</v>
      </c>
      <c r="AJ9" s="231">
        <v>1459.1</v>
      </c>
      <c r="AK9" s="232">
        <v>1971.5</v>
      </c>
      <c r="AL9" s="231">
        <v>472.3</v>
      </c>
      <c r="AM9" s="231">
        <v>919</v>
      </c>
      <c r="AN9" s="231">
        <v>1348.2</v>
      </c>
      <c r="AO9" s="232">
        <v>1783</v>
      </c>
      <c r="AP9" s="507">
        <v>454.5</v>
      </c>
      <c r="AS9" s="232"/>
    </row>
    <row r="10" spans="1:251" s="25" customFormat="1" ht="20.149999999999999" customHeight="1">
      <c r="A10" s="438" t="s">
        <v>895</v>
      </c>
      <c r="B10" s="437" t="s">
        <v>90</v>
      </c>
      <c r="C10" s="230">
        <v>0</v>
      </c>
      <c r="D10" s="230">
        <v>0</v>
      </c>
      <c r="E10" s="230">
        <v>0</v>
      </c>
      <c r="F10" s="230">
        <v>0</v>
      </c>
      <c r="G10" s="229">
        <v>0</v>
      </c>
      <c r="H10" s="230">
        <v>0</v>
      </c>
      <c r="I10" s="229">
        <v>0</v>
      </c>
      <c r="J10" s="230">
        <v>0</v>
      </c>
      <c r="K10" s="229">
        <v>0</v>
      </c>
      <c r="L10" s="229">
        <v>0</v>
      </c>
      <c r="M10" s="230">
        <v>0</v>
      </c>
      <c r="N10" s="229">
        <v>0</v>
      </c>
      <c r="O10" s="229">
        <v>-35.238</v>
      </c>
      <c r="P10" s="229">
        <v>-94.701000000000008</v>
      </c>
      <c r="Q10" s="230">
        <v>-177.24100000000001</v>
      </c>
      <c r="R10" s="229">
        <v>-29.711000000000002</v>
      </c>
      <c r="S10" s="229">
        <v>-88.683000000000007</v>
      </c>
      <c r="T10" s="229">
        <v>-140.589</v>
      </c>
      <c r="U10" s="230">
        <v>-177.86799999999999</v>
      </c>
      <c r="V10" s="229">
        <v>-44.32</v>
      </c>
      <c r="W10" s="229">
        <v>-122.45100000000001</v>
      </c>
      <c r="X10" s="229">
        <v>-189.477</v>
      </c>
      <c r="Y10" s="230">
        <v>-222.45600000000002</v>
      </c>
      <c r="Z10" s="229">
        <v>-109.42100000000001</v>
      </c>
      <c r="AA10" s="231">
        <v>-148.9</v>
      </c>
      <c r="AB10" s="231">
        <v>-224.7</v>
      </c>
      <c r="AC10" s="232">
        <v>-306.8</v>
      </c>
      <c r="AD10" s="231">
        <v>-41.5</v>
      </c>
      <c r="AE10" s="231">
        <v>-115.2</v>
      </c>
      <c r="AF10" s="231">
        <v>-195.4</v>
      </c>
      <c r="AG10" s="232">
        <v>-238.1</v>
      </c>
      <c r="AH10" s="231">
        <v>-58.1</v>
      </c>
      <c r="AI10" s="231">
        <v>-119</v>
      </c>
      <c r="AJ10" s="231">
        <v>-189.6</v>
      </c>
      <c r="AK10" s="232">
        <v>-246.5</v>
      </c>
      <c r="AL10" s="231">
        <v>-33.299999999999997</v>
      </c>
      <c r="AM10" s="231">
        <v>-94.2</v>
      </c>
      <c r="AN10" s="231">
        <v>-246.2</v>
      </c>
      <c r="AO10" s="232">
        <v>-305.10000000000002</v>
      </c>
      <c r="AP10" s="507">
        <v>-62.4</v>
      </c>
      <c r="AS10" s="232"/>
    </row>
    <row r="11" spans="1:251" s="25" customFormat="1" ht="20.149999999999999" customHeight="1">
      <c r="A11" s="438" t="s">
        <v>896</v>
      </c>
      <c r="B11" s="437" t="s">
        <v>91</v>
      </c>
      <c r="C11" s="230">
        <v>0</v>
      </c>
      <c r="D11" s="230">
        <v>0</v>
      </c>
      <c r="E11" s="230">
        <v>0</v>
      </c>
      <c r="F11" s="230">
        <v>0</v>
      </c>
      <c r="G11" s="229">
        <v>0</v>
      </c>
      <c r="H11" s="230">
        <v>0</v>
      </c>
      <c r="I11" s="229">
        <v>0</v>
      </c>
      <c r="J11" s="230">
        <v>0</v>
      </c>
      <c r="K11" s="229">
        <v>0</v>
      </c>
      <c r="L11" s="229">
        <v>0</v>
      </c>
      <c r="M11" s="230">
        <v>0</v>
      </c>
      <c r="N11" s="229">
        <v>0</v>
      </c>
      <c r="O11" s="229">
        <v>46.114000000000004</v>
      </c>
      <c r="P11" s="229">
        <v>104.453</v>
      </c>
      <c r="Q11" s="230">
        <v>169.45500000000001</v>
      </c>
      <c r="R11" s="229">
        <v>46.908999999999999</v>
      </c>
      <c r="S11" s="229">
        <v>99.832000000000008</v>
      </c>
      <c r="T11" s="229">
        <v>145.40600000000001</v>
      </c>
      <c r="U11" s="230">
        <v>194.52100000000002</v>
      </c>
      <c r="V11" s="229">
        <v>46.048999999999999</v>
      </c>
      <c r="W11" s="229">
        <v>102.423</v>
      </c>
      <c r="X11" s="229">
        <v>162.63200000000001</v>
      </c>
      <c r="Y11" s="230">
        <v>220.37100000000001</v>
      </c>
      <c r="Z11" s="229">
        <v>40.084000000000003</v>
      </c>
      <c r="AA11" s="231">
        <v>85.1</v>
      </c>
      <c r="AB11" s="231">
        <v>162.19999999999999</v>
      </c>
      <c r="AC11" s="232">
        <v>224.4</v>
      </c>
      <c r="AD11" s="231">
        <v>43.7</v>
      </c>
      <c r="AE11" s="231">
        <v>90.5</v>
      </c>
      <c r="AF11" s="231">
        <v>149.9</v>
      </c>
      <c r="AG11" s="232">
        <v>212.6</v>
      </c>
      <c r="AH11" s="231">
        <v>49.1</v>
      </c>
      <c r="AI11" s="231">
        <v>125.3</v>
      </c>
      <c r="AJ11" s="231">
        <v>173.5</v>
      </c>
      <c r="AK11" s="232">
        <v>230.7</v>
      </c>
      <c r="AL11" s="231">
        <v>48.5</v>
      </c>
      <c r="AM11" s="231">
        <v>102.7</v>
      </c>
      <c r="AN11" s="231">
        <v>166.1</v>
      </c>
      <c r="AO11" s="232">
        <v>228.6</v>
      </c>
      <c r="AP11" s="507">
        <v>45.7</v>
      </c>
      <c r="AS11" s="232"/>
      <c r="AT11" s="437"/>
      <c r="AU11" s="437"/>
      <c r="AV11" s="437"/>
      <c r="AW11" s="437"/>
      <c r="AX11" s="437"/>
      <c r="AY11" s="437"/>
      <c r="AZ11" s="437"/>
      <c r="BA11" s="437"/>
      <c r="BB11" s="437"/>
      <c r="BC11" s="437"/>
      <c r="BD11" s="437"/>
      <c r="BE11" s="437"/>
      <c r="BF11" s="437"/>
      <c r="BG11" s="437"/>
      <c r="BH11" s="437"/>
      <c r="BI11" s="437"/>
      <c r="BJ11" s="437"/>
      <c r="BK11" s="437"/>
      <c r="BL11" s="437"/>
      <c r="BM11" s="437"/>
      <c r="BN11" s="437"/>
      <c r="BO11" s="437"/>
      <c r="BP11" s="437"/>
      <c r="BQ11" s="437"/>
      <c r="BR11" s="437"/>
      <c r="BS11" s="437"/>
      <c r="BT11" s="437"/>
      <c r="BU11" s="437"/>
      <c r="BV11" s="437"/>
      <c r="BW11" s="437"/>
      <c r="BX11" s="437"/>
      <c r="BY11" s="437"/>
      <c r="BZ11" s="437"/>
      <c r="CA11" s="437"/>
      <c r="CB11" s="437"/>
      <c r="CC11" s="437"/>
      <c r="CD11" s="437"/>
      <c r="CE11" s="437"/>
      <c r="CF11" s="437"/>
      <c r="CG11" s="437"/>
      <c r="CH11" s="437"/>
      <c r="CI11" s="437"/>
      <c r="CJ11" s="437"/>
      <c r="CK11" s="437"/>
      <c r="CL11" s="437"/>
      <c r="CM11" s="437"/>
      <c r="CN11" s="437"/>
      <c r="CO11" s="437"/>
      <c r="CP11" s="437"/>
      <c r="CQ11" s="437"/>
      <c r="CR11" s="437"/>
      <c r="CS11" s="437"/>
      <c r="CT11" s="437"/>
      <c r="CU11" s="437"/>
      <c r="CV11" s="437"/>
      <c r="CW11" s="437"/>
      <c r="CX11" s="437"/>
      <c r="CY11" s="437"/>
      <c r="CZ11" s="437"/>
      <c r="DA11" s="437"/>
      <c r="DB11" s="437"/>
      <c r="DC11" s="437"/>
      <c r="DD11" s="437"/>
      <c r="DE11" s="437"/>
      <c r="DF11" s="437"/>
      <c r="DG11" s="437"/>
      <c r="DH11" s="437"/>
      <c r="DI11" s="437"/>
      <c r="DJ11" s="437"/>
      <c r="DK11" s="437"/>
      <c r="DL11" s="437"/>
      <c r="DM11" s="437"/>
      <c r="DN11" s="437"/>
      <c r="DO11" s="437"/>
      <c r="DP11" s="437"/>
      <c r="DQ11" s="437"/>
      <c r="DR11" s="437"/>
      <c r="DS11" s="437"/>
      <c r="DT11" s="437"/>
      <c r="DU11" s="437"/>
      <c r="DV11" s="437"/>
      <c r="DW11" s="437"/>
      <c r="DX11" s="437"/>
      <c r="DY11" s="437"/>
      <c r="DZ11" s="437"/>
      <c r="EA11" s="437"/>
      <c r="EB11" s="437"/>
      <c r="EC11" s="437"/>
      <c r="ED11" s="437"/>
      <c r="EE11" s="437"/>
      <c r="EF11" s="437"/>
      <c r="EG11" s="437"/>
      <c r="EH11" s="437"/>
      <c r="EI11" s="437"/>
      <c r="EJ11" s="437"/>
      <c r="EK11" s="437"/>
      <c r="EL11" s="437"/>
      <c r="EM11" s="437"/>
      <c r="EN11" s="437"/>
      <c r="EO11" s="437"/>
      <c r="EP11" s="437"/>
      <c r="EQ11" s="437"/>
      <c r="ER11" s="437"/>
      <c r="ES11" s="437"/>
      <c r="ET11" s="437"/>
      <c r="EU11" s="437"/>
      <c r="EV11" s="437"/>
      <c r="EW11" s="437"/>
      <c r="EX11" s="437"/>
      <c r="EY11" s="437"/>
      <c r="EZ11" s="437"/>
      <c r="FA11" s="437"/>
      <c r="FB11" s="437"/>
      <c r="FC11" s="437"/>
      <c r="FD11" s="437"/>
      <c r="FE11" s="437"/>
      <c r="FF11" s="437"/>
      <c r="FG11" s="437"/>
      <c r="FH11" s="437"/>
      <c r="FI11" s="437"/>
      <c r="FJ11" s="437"/>
      <c r="FK11" s="437"/>
      <c r="FL11" s="437"/>
      <c r="FM11" s="437"/>
      <c r="FN11" s="437"/>
      <c r="FO11" s="437"/>
      <c r="FP11" s="437"/>
      <c r="FQ11" s="437"/>
      <c r="FR11" s="437"/>
      <c r="FS11" s="437"/>
      <c r="FT11" s="437"/>
      <c r="FU11" s="437"/>
      <c r="FV11" s="437"/>
      <c r="FW11" s="437"/>
      <c r="FX11" s="437"/>
      <c r="FY11" s="437"/>
      <c r="FZ11" s="437"/>
      <c r="GA11" s="437"/>
      <c r="GB11" s="437"/>
      <c r="GC11" s="437"/>
      <c r="GD11" s="437"/>
      <c r="GE11" s="437"/>
      <c r="GF11" s="437"/>
      <c r="GG11" s="437"/>
      <c r="GH11" s="437"/>
      <c r="GI11" s="437"/>
      <c r="GJ11" s="437"/>
      <c r="GK11" s="437"/>
      <c r="GL11" s="437"/>
      <c r="GM11" s="437"/>
      <c r="GN11" s="437"/>
      <c r="GO11" s="437"/>
      <c r="GP11" s="437"/>
      <c r="GQ11" s="437"/>
      <c r="GR11" s="437"/>
      <c r="GS11" s="437"/>
      <c r="GT11" s="437"/>
      <c r="GU11" s="437"/>
      <c r="GV11" s="437"/>
      <c r="GW11" s="437"/>
      <c r="GX11" s="437"/>
      <c r="GY11" s="437"/>
      <c r="GZ11" s="437"/>
      <c r="HA11" s="437"/>
      <c r="HB11" s="437"/>
      <c r="HC11" s="437"/>
      <c r="HD11" s="437"/>
      <c r="HE11" s="437"/>
      <c r="HF11" s="437"/>
      <c r="HG11" s="437"/>
      <c r="HH11" s="437"/>
      <c r="HI11" s="437"/>
      <c r="HJ11" s="437"/>
      <c r="HK11" s="437"/>
      <c r="HL11" s="437"/>
      <c r="HM11" s="437"/>
      <c r="HN11" s="437"/>
      <c r="HO11" s="437"/>
      <c r="HP11" s="437"/>
      <c r="HQ11" s="437"/>
      <c r="HR11" s="437"/>
      <c r="HS11" s="437"/>
      <c r="HT11" s="437"/>
      <c r="HU11" s="437"/>
      <c r="HV11" s="437"/>
      <c r="HW11" s="437"/>
      <c r="HX11" s="437"/>
      <c r="HY11" s="437"/>
      <c r="HZ11" s="437"/>
      <c r="IA11" s="437"/>
      <c r="IB11" s="437"/>
      <c r="IC11" s="437"/>
      <c r="ID11" s="437"/>
      <c r="IE11" s="437"/>
      <c r="IF11" s="437"/>
      <c r="IG11" s="437"/>
      <c r="IH11" s="437"/>
      <c r="II11" s="437"/>
      <c r="IJ11" s="437"/>
      <c r="IK11" s="437"/>
      <c r="IL11" s="437"/>
      <c r="IM11" s="437"/>
      <c r="IN11" s="437"/>
      <c r="IO11" s="437"/>
      <c r="IP11" s="437"/>
      <c r="IQ11" s="437"/>
    </row>
    <row r="12" spans="1:251" s="25" customFormat="1" ht="20.149999999999999" customHeight="1">
      <c r="A12" s="438" t="s">
        <v>897</v>
      </c>
      <c r="B12" s="437" t="s">
        <v>134</v>
      </c>
      <c r="C12" s="230">
        <v>0</v>
      </c>
      <c r="D12" s="230">
        <v>0</v>
      </c>
      <c r="E12" s="230">
        <v>0</v>
      </c>
      <c r="F12" s="224">
        <v>1.7000000000000001E-2</v>
      </c>
      <c r="G12" s="229">
        <v>0</v>
      </c>
      <c r="H12" s="230">
        <v>0</v>
      </c>
      <c r="I12" s="229">
        <v>0</v>
      </c>
      <c r="J12" s="230">
        <v>0</v>
      </c>
      <c r="K12" s="229">
        <v>0</v>
      </c>
      <c r="L12" s="229">
        <v>0</v>
      </c>
      <c r="M12" s="230">
        <v>0</v>
      </c>
      <c r="N12" s="229">
        <v>0</v>
      </c>
      <c r="O12" s="229">
        <v>0</v>
      </c>
      <c r="P12" s="229">
        <v>0</v>
      </c>
      <c r="Q12" s="230">
        <v>0</v>
      </c>
      <c r="R12" s="229">
        <v>0</v>
      </c>
      <c r="S12" s="229">
        <v>0</v>
      </c>
      <c r="T12" s="229">
        <v>0</v>
      </c>
      <c r="U12" s="230">
        <v>0</v>
      </c>
      <c r="V12" s="229">
        <v>0</v>
      </c>
      <c r="W12" s="229">
        <v>0</v>
      </c>
      <c r="X12" s="229">
        <v>0</v>
      </c>
      <c r="Y12" s="230">
        <v>0</v>
      </c>
      <c r="Z12" s="229">
        <v>0</v>
      </c>
      <c r="AA12" s="231">
        <v>0</v>
      </c>
      <c r="AB12" s="231">
        <v>0</v>
      </c>
      <c r="AC12" s="232">
        <v>0</v>
      </c>
      <c r="AD12" s="231">
        <v>0</v>
      </c>
      <c r="AE12" s="231">
        <v>0</v>
      </c>
      <c r="AF12" s="231">
        <v>0</v>
      </c>
      <c r="AG12" s="232">
        <v>0</v>
      </c>
      <c r="AH12" s="231">
        <v>0</v>
      </c>
      <c r="AI12" s="231">
        <v>0</v>
      </c>
      <c r="AJ12" s="231">
        <v>0</v>
      </c>
      <c r="AK12" s="232">
        <v>0</v>
      </c>
      <c r="AL12" s="231">
        <v>0</v>
      </c>
      <c r="AM12" s="231">
        <v>0</v>
      </c>
      <c r="AN12" s="231">
        <v>0</v>
      </c>
      <c r="AO12" s="232">
        <v>0</v>
      </c>
      <c r="AP12" s="549">
        <v>0</v>
      </c>
      <c r="AQ12" s="437"/>
      <c r="AR12" s="437"/>
      <c r="AS12" s="232"/>
      <c r="AT12" s="437"/>
      <c r="AU12" s="437"/>
      <c r="AV12" s="437"/>
      <c r="AW12" s="437"/>
      <c r="AX12" s="437"/>
      <c r="AY12" s="437"/>
      <c r="AZ12" s="437"/>
      <c r="BA12" s="437"/>
      <c r="BB12" s="437"/>
      <c r="BC12" s="437"/>
      <c r="BD12" s="437"/>
      <c r="BE12" s="437"/>
      <c r="BF12" s="437"/>
      <c r="BG12" s="437"/>
      <c r="BH12" s="437"/>
      <c r="BI12" s="437"/>
      <c r="BJ12" s="437"/>
      <c r="BK12" s="437"/>
      <c r="BL12" s="437"/>
      <c r="BM12" s="437"/>
      <c r="BN12" s="437"/>
      <c r="BO12" s="437"/>
      <c r="BP12" s="437"/>
      <c r="BQ12" s="437"/>
      <c r="BR12" s="437"/>
      <c r="BS12" s="437"/>
      <c r="BT12" s="437"/>
      <c r="BU12" s="437"/>
      <c r="BV12" s="437"/>
      <c r="BW12" s="437"/>
      <c r="BX12" s="437"/>
      <c r="BY12" s="437"/>
      <c r="BZ12" s="437"/>
      <c r="CA12" s="437"/>
      <c r="CB12" s="437"/>
      <c r="CC12" s="437"/>
      <c r="CD12" s="437"/>
      <c r="CE12" s="437"/>
      <c r="CF12" s="437"/>
      <c r="CG12" s="437"/>
      <c r="CH12" s="437"/>
      <c r="CI12" s="437"/>
      <c r="CJ12" s="437"/>
      <c r="CK12" s="437"/>
      <c r="CL12" s="437"/>
      <c r="CM12" s="437"/>
      <c r="CN12" s="437"/>
      <c r="CO12" s="437"/>
      <c r="CP12" s="437"/>
      <c r="CQ12" s="437"/>
      <c r="CR12" s="437"/>
      <c r="CS12" s="437"/>
      <c r="CT12" s="437"/>
      <c r="CU12" s="437"/>
      <c r="CV12" s="437"/>
      <c r="CW12" s="437"/>
      <c r="CX12" s="437"/>
      <c r="CY12" s="437"/>
      <c r="CZ12" s="437"/>
      <c r="DA12" s="437"/>
      <c r="DB12" s="437"/>
      <c r="DC12" s="437"/>
      <c r="DD12" s="437"/>
      <c r="DE12" s="437"/>
      <c r="DF12" s="437"/>
      <c r="DG12" s="437"/>
      <c r="DH12" s="437"/>
      <c r="DI12" s="437"/>
      <c r="DJ12" s="437"/>
      <c r="DK12" s="437"/>
      <c r="DL12" s="437"/>
      <c r="DM12" s="437"/>
      <c r="DN12" s="437"/>
      <c r="DO12" s="437"/>
      <c r="DP12" s="437"/>
      <c r="DQ12" s="437"/>
      <c r="DR12" s="437"/>
      <c r="DS12" s="437"/>
      <c r="DT12" s="437"/>
      <c r="DU12" s="437"/>
      <c r="DV12" s="437"/>
      <c r="DW12" s="437"/>
      <c r="DX12" s="437"/>
      <c r="DY12" s="437"/>
      <c r="DZ12" s="437"/>
      <c r="EA12" s="437"/>
      <c r="EB12" s="437"/>
      <c r="EC12" s="437"/>
      <c r="ED12" s="437"/>
      <c r="EE12" s="437"/>
      <c r="EF12" s="437"/>
      <c r="EG12" s="437"/>
      <c r="EH12" s="437"/>
      <c r="EI12" s="437"/>
      <c r="EJ12" s="437"/>
      <c r="EK12" s="437"/>
      <c r="EL12" s="437"/>
      <c r="EM12" s="437"/>
      <c r="EN12" s="437"/>
      <c r="EO12" s="437"/>
      <c r="EP12" s="437"/>
      <c r="EQ12" s="437"/>
      <c r="ER12" s="437"/>
      <c r="ES12" s="437"/>
      <c r="ET12" s="437"/>
      <c r="EU12" s="437"/>
      <c r="EV12" s="437"/>
      <c r="EW12" s="437"/>
      <c r="EX12" s="437"/>
      <c r="EY12" s="437"/>
      <c r="EZ12" s="437"/>
      <c r="FA12" s="437"/>
      <c r="FB12" s="437"/>
      <c r="FC12" s="437"/>
      <c r="FD12" s="437"/>
      <c r="FE12" s="437"/>
      <c r="FF12" s="437"/>
      <c r="FG12" s="437"/>
      <c r="FH12" s="437"/>
      <c r="FI12" s="437"/>
      <c r="FJ12" s="437"/>
      <c r="FK12" s="437"/>
      <c r="FL12" s="437"/>
      <c r="FM12" s="437"/>
      <c r="FN12" s="437"/>
      <c r="FO12" s="437"/>
      <c r="FP12" s="437"/>
      <c r="FQ12" s="437"/>
      <c r="FR12" s="437"/>
      <c r="FS12" s="437"/>
      <c r="FT12" s="437"/>
      <c r="FU12" s="437"/>
      <c r="FV12" s="437"/>
      <c r="FW12" s="437"/>
      <c r="FX12" s="437"/>
      <c r="FY12" s="437"/>
      <c r="FZ12" s="437"/>
      <c r="GA12" s="437"/>
      <c r="GB12" s="437"/>
      <c r="GC12" s="437"/>
      <c r="GD12" s="437"/>
      <c r="GE12" s="437"/>
      <c r="GF12" s="437"/>
      <c r="GG12" s="437"/>
      <c r="GH12" s="437"/>
      <c r="GI12" s="437"/>
      <c r="GJ12" s="437"/>
      <c r="GK12" s="437"/>
      <c r="GL12" s="437"/>
      <c r="GM12" s="437"/>
      <c r="GN12" s="437"/>
      <c r="GO12" s="437"/>
      <c r="GP12" s="437"/>
      <c r="GQ12" s="437"/>
      <c r="GR12" s="437"/>
      <c r="GS12" s="437"/>
      <c r="GT12" s="437"/>
      <c r="GU12" s="437"/>
      <c r="GV12" s="437"/>
      <c r="GW12" s="437"/>
      <c r="GX12" s="437"/>
      <c r="GY12" s="437"/>
      <c r="GZ12" s="437"/>
      <c r="HA12" s="437"/>
      <c r="HB12" s="437"/>
      <c r="HC12" s="437"/>
      <c r="HD12" s="437"/>
      <c r="HE12" s="437"/>
      <c r="HF12" s="437"/>
      <c r="HG12" s="437"/>
      <c r="HH12" s="437"/>
      <c r="HI12" s="437"/>
      <c r="HJ12" s="437"/>
      <c r="HK12" s="437"/>
      <c r="HL12" s="437"/>
      <c r="HM12" s="437"/>
      <c r="HN12" s="437"/>
      <c r="HO12" s="437"/>
      <c r="HP12" s="437"/>
      <c r="HQ12" s="437"/>
      <c r="HR12" s="437"/>
      <c r="HS12" s="437"/>
      <c r="HT12" s="437"/>
      <c r="HU12" s="437"/>
      <c r="HV12" s="437"/>
      <c r="HW12" s="437"/>
      <c r="HX12" s="437"/>
      <c r="HY12" s="437"/>
      <c r="HZ12" s="437"/>
      <c r="IA12" s="437"/>
      <c r="IB12" s="437"/>
      <c r="IC12" s="437"/>
      <c r="ID12" s="437"/>
      <c r="IE12" s="437"/>
      <c r="IF12" s="437"/>
      <c r="IG12" s="437"/>
      <c r="IH12" s="437"/>
      <c r="II12" s="437"/>
      <c r="IJ12" s="437"/>
      <c r="IK12" s="437"/>
      <c r="IL12" s="437"/>
      <c r="IM12" s="437"/>
      <c r="IN12" s="437"/>
      <c r="IO12" s="437"/>
      <c r="IP12" s="437"/>
      <c r="IQ12" s="437"/>
    </row>
    <row r="13" spans="1:251" s="25" customFormat="1" ht="20.149999999999999" customHeight="1">
      <c r="A13" s="438" t="s">
        <v>898</v>
      </c>
      <c r="B13" s="437" t="s">
        <v>176</v>
      </c>
      <c r="C13" s="224">
        <v>-0.34899999999999998</v>
      </c>
      <c r="D13" s="230">
        <v>0</v>
      </c>
      <c r="E13" s="224">
        <v>-14.7</v>
      </c>
      <c r="F13" s="224">
        <v>0.46600000000000003</v>
      </c>
      <c r="G13" s="226">
        <v>6.0000000000000001E-3</v>
      </c>
      <c r="H13" s="224">
        <v>-1.0999999999999999E-2</v>
      </c>
      <c r="I13" s="228">
        <v>-0.316</v>
      </c>
      <c r="J13" s="224">
        <v>-5.5E-2</v>
      </c>
      <c r="K13" s="228">
        <v>0.32700000000000001</v>
      </c>
      <c r="L13" s="228">
        <v>2.181</v>
      </c>
      <c r="M13" s="224">
        <v>2.04</v>
      </c>
      <c r="N13" s="229">
        <v>0.14300000000000002</v>
      </c>
      <c r="O13" s="229">
        <v>0.44500000000000001</v>
      </c>
      <c r="P13" s="229">
        <v>1.304</v>
      </c>
      <c r="Q13" s="230">
        <v>1.1870000000000001</v>
      </c>
      <c r="R13" s="229">
        <v>-1.0999999999999999E-2</v>
      </c>
      <c r="S13" s="229">
        <v>-0.25700000000000001</v>
      </c>
      <c r="T13" s="229">
        <v>-0.48299999999999998</v>
      </c>
      <c r="U13" s="230">
        <v>-0.111</v>
      </c>
      <c r="V13" s="229">
        <v>5.8000000000000003E-2</v>
      </c>
      <c r="W13" s="229">
        <v>7.2999999999999995E-2</v>
      </c>
      <c r="X13" s="229">
        <v>-38.896000000000001</v>
      </c>
      <c r="Y13" s="230">
        <v>-35.765000000000001</v>
      </c>
      <c r="Z13" s="229">
        <v>-5.2999999999999999E-2</v>
      </c>
      <c r="AA13" s="231">
        <v>-0.7</v>
      </c>
      <c r="AB13" s="231">
        <v>-2.4</v>
      </c>
      <c r="AC13" s="232">
        <v>-2.9</v>
      </c>
      <c r="AD13" s="231">
        <v>-0.4</v>
      </c>
      <c r="AE13" s="231">
        <v>-4.8</v>
      </c>
      <c r="AF13" s="231">
        <v>-5.7</v>
      </c>
      <c r="AG13" s="232">
        <v>-6.9</v>
      </c>
      <c r="AH13" s="231">
        <v>0</v>
      </c>
      <c r="AI13" s="439" t="s">
        <v>125</v>
      </c>
      <c r="AJ13" s="439" t="s">
        <v>125</v>
      </c>
      <c r="AK13" s="247" t="s">
        <v>125</v>
      </c>
      <c r="AL13" s="439" t="s">
        <v>125</v>
      </c>
      <c r="AM13" s="439" t="s">
        <v>125</v>
      </c>
      <c r="AN13" s="439" t="s">
        <v>125</v>
      </c>
      <c r="AO13" s="247" t="s">
        <v>125</v>
      </c>
      <c r="AP13" s="547" t="s">
        <v>125</v>
      </c>
      <c r="AQ13" s="437"/>
      <c r="AR13" s="437"/>
      <c r="AS13" s="232"/>
    </row>
    <row r="14" spans="1:251" s="25" customFormat="1" ht="20.149999999999999" customHeight="1">
      <c r="A14" s="438" t="s">
        <v>899</v>
      </c>
      <c r="B14" s="437" t="s">
        <v>92</v>
      </c>
      <c r="C14" s="230">
        <v>0</v>
      </c>
      <c r="D14" s="230">
        <v>0</v>
      </c>
      <c r="E14" s="230">
        <v>0</v>
      </c>
      <c r="F14" s="230">
        <v>0</v>
      </c>
      <c r="G14" s="229">
        <v>0</v>
      </c>
      <c r="H14" s="230">
        <v>0</v>
      </c>
      <c r="I14" s="229">
        <v>0</v>
      </c>
      <c r="J14" s="230">
        <v>0</v>
      </c>
      <c r="K14" s="229">
        <v>0</v>
      </c>
      <c r="L14" s="229">
        <v>0</v>
      </c>
      <c r="M14" s="230">
        <v>0</v>
      </c>
      <c r="N14" s="229">
        <v>0</v>
      </c>
      <c r="O14" s="229">
        <v>0.95700000000000007</v>
      </c>
      <c r="P14" s="229">
        <v>2.4969999999999999</v>
      </c>
      <c r="Q14" s="230">
        <v>3.7469999999999999</v>
      </c>
      <c r="R14" s="229">
        <v>2.3109999999999999</v>
      </c>
      <c r="S14" s="229">
        <v>4.6020000000000003</v>
      </c>
      <c r="T14" s="229">
        <v>6.1379999999999999</v>
      </c>
      <c r="U14" s="230">
        <v>9.2439999999999998</v>
      </c>
      <c r="V14" s="229">
        <v>3.504</v>
      </c>
      <c r="W14" s="229">
        <v>5.843</v>
      </c>
      <c r="X14" s="229">
        <v>6.3049999999999997</v>
      </c>
      <c r="Y14" s="230">
        <v>6.407</v>
      </c>
      <c r="Z14" s="229">
        <v>4.1000000000000002E-2</v>
      </c>
      <c r="AA14" s="231">
        <v>0.1</v>
      </c>
      <c r="AB14" s="231">
        <v>30.4</v>
      </c>
      <c r="AC14" s="232">
        <v>30.5</v>
      </c>
      <c r="AD14" s="231">
        <v>0.1</v>
      </c>
      <c r="AE14" s="231">
        <v>0.5</v>
      </c>
      <c r="AF14" s="231">
        <v>0.5</v>
      </c>
      <c r="AG14" s="232">
        <v>1.4</v>
      </c>
      <c r="AH14" s="231">
        <v>0</v>
      </c>
      <c r="AI14" s="439" t="s">
        <v>125</v>
      </c>
      <c r="AJ14" s="439" t="s">
        <v>125</v>
      </c>
      <c r="AK14" s="247" t="s">
        <v>125</v>
      </c>
      <c r="AL14" s="439" t="s">
        <v>125</v>
      </c>
      <c r="AM14" s="439" t="s">
        <v>125</v>
      </c>
      <c r="AN14" s="439" t="s">
        <v>125</v>
      </c>
      <c r="AO14" s="247" t="s">
        <v>125</v>
      </c>
      <c r="AP14" s="547" t="s">
        <v>125</v>
      </c>
      <c r="AS14" s="247"/>
      <c r="AT14" s="437"/>
      <c r="AU14" s="437"/>
      <c r="AV14" s="437"/>
      <c r="AW14" s="437"/>
      <c r="AX14" s="437"/>
      <c r="AY14" s="437"/>
      <c r="AZ14" s="437"/>
      <c r="BA14" s="437"/>
      <c r="BB14" s="437"/>
      <c r="BC14" s="437"/>
      <c r="BD14" s="437"/>
      <c r="BE14" s="437"/>
      <c r="BF14" s="437"/>
      <c r="BG14" s="437"/>
      <c r="BH14" s="437"/>
      <c r="BI14" s="437"/>
      <c r="BJ14" s="437"/>
      <c r="BK14" s="437"/>
      <c r="BL14" s="437"/>
      <c r="BM14" s="437"/>
      <c r="BN14" s="437"/>
      <c r="BO14" s="437"/>
      <c r="BP14" s="437"/>
      <c r="BQ14" s="437"/>
      <c r="BR14" s="437"/>
      <c r="BS14" s="437"/>
      <c r="BT14" s="437"/>
      <c r="BU14" s="437"/>
      <c r="BV14" s="437"/>
      <c r="BW14" s="437"/>
      <c r="BX14" s="437"/>
      <c r="BY14" s="437"/>
      <c r="BZ14" s="437"/>
      <c r="CA14" s="437"/>
      <c r="CB14" s="437"/>
      <c r="CC14" s="437"/>
      <c r="CD14" s="437"/>
      <c r="CE14" s="437"/>
      <c r="CF14" s="437"/>
      <c r="CG14" s="437"/>
      <c r="CH14" s="437"/>
      <c r="CI14" s="437"/>
      <c r="CJ14" s="437"/>
      <c r="CK14" s="437"/>
      <c r="CL14" s="437"/>
      <c r="CM14" s="437"/>
      <c r="CN14" s="437"/>
      <c r="CO14" s="437"/>
      <c r="CP14" s="437"/>
      <c r="CQ14" s="437"/>
      <c r="CR14" s="437"/>
      <c r="CS14" s="437"/>
      <c r="CT14" s="437"/>
      <c r="CU14" s="437"/>
      <c r="CV14" s="437"/>
      <c r="CW14" s="437"/>
      <c r="CX14" s="437"/>
      <c r="CY14" s="437"/>
      <c r="CZ14" s="437"/>
      <c r="DA14" s="437"/>
      <c r="DB14" s="437"/>
      <c r="DC14" s="437"/>
      <c r="DD14" s="437"/>
      <c r="DE14" s="437"/>
      <c r="DF14" s="437"/>
      <c r="DG14" s="437"/>
      <c r="DH14" s="437"/>
      <c r="DI14" s="437"/>
      <c r="DJ14" s="437"/>
      <c r="DK14" s="437"/>
      <c r="DL14" s="437"/>
      <c r="DM14" s="437"/>
      <c r="DN14" s="437"/>
      <c r="DO14" s="437"/>
      <c r="DP14" s="437"/>
      <c r="DQ14" s="437"/>
      <c r="DR14" s="437"/>
      <c r="DS14" s="437"/>
      <c r="DT14" s="437"/>
      <c r="DU14" s="437"/>
      <c r="DV14" s="437"/>
      <c r="DW14" s="437"/>
      <c r="DX14" s="437"/>
      <c r="DY14" s="437"/>
      <c r="DZ14" s="437"/>
      <c r="EA14" s="437"/>
      <c r="EB14" s="437"/>
      <c r="EC14" s="437"/>
      <c r="ED14" s="437"/>
      <c r="EE14" s="437"/>
      <c r="EF14" s="437"/>
      <c r="EG14" s="437"/>
      <c r="EH14" s="437"/>
      <c r="EI14" s="437"/>
      <c r="EJ14" s="437"/>
      <c r="EK14" s="437"/>
      <c r="EL14" s="437"/>
      <c r="EM14" s="437"/>
      <c r="EN14" s="437"/>
      <c r="EO14" s="437"/>
      <c r="EP14" s="437"/>
      <c r="EQ14" s="437"/>
      <c r="ER14" s="437"/>
      <c r="ES14" s="437"/>
      <c r="ET14" s="437"/>
      <c r="EU14" s="437"/>
      <c r="EV14" s="437"/>
      <c r="EW14" s="437"/>
      <c r="EX14" s="437"/>
      <c r="EY14" s="437"/>
      <c r="EZ14" s="437"/>
      <c r="FA14" s="437"/>
      <c r="FB14" s="437"/>
      <c r="FC14" s="437"/>
      <c r="FD14" s="437"/>
      <c r="FE14" s="437"/>
      <c r="FF14" s="437"/>
      <c r="FG14" s="437"/>
      <c r="FH14" s="437"/>
      <c r="FI14" s="437"/>
      <c r="FJ14" s="437"/>
      <c r="FK14" s="437"/>
      <c r="FL14" s="437"/>
      <c r="FM14" s="437"/>
      <c r="FN14" s="437"/>
      <c r="FO14" s="437"/>
      <c r="FP14" s="437"/>
      <c r="FQ14" s="437"/>
      <c r="FR14" s="437"/>
      <c r="FS14" s="437"/>
      <c r="FT14" s="437"/>
      <c r="FU14" s="437"/>
      <c r="FV14" s="437"/>
      <c r="FW14" s="437"/>
      <c r="FX14" s="437"/>
      <c r="FY14" s="437"/>
      <c r="FZ14" s="437"/>
      <c r="GA14" s="437"/>
      <c r="GB14" s="437"/>
      <c r="GC14" s="437"/>
      <c r="GD14" s="437"/>
      <c r="GE14" s="437"/>
      <c r="GF14" s="437"/>
      <c r="GG14" s="437"/>
      <c r="GH14" s="437"/>
      <c r="GI14" s="437"/>
      <c r="GJ14" s="437"/>
      <c r="GK14" s="437"/>
      <c r="GL14" s="437"/>
      <c r="GM14" s="437"/>
      <c r="GN14" s="437"/>
      <c r="GO14" s="437"/>
      <c r="GP14" s="437"/>
      <c r="GQ14" s="437"/>
      <c r="GR14" s="437"/>
      <c r="GS14" s="437"/>
      <c r="GT14" s="437"/>
      <c r="GU14" s="437"/>
      <c r="GV14" s="437"/>
      <c r="GW14" s="437"/>
      <c r="GX14" s="437"/>
      <c r="GY14" s="437"/>
      <c r="GZ14" s="437"/>
      <c r="HA14" s="437"/>
      <c r="HB14" s="437"/>
      <c r="HC14" s="437"/>
      <c r="HD14" s="437"/>
      <c r="HE14" s="437"/>
      <c r="HF14" s="437"/>
      <c r="HG14" s="437"/>
      <c r="HH14" s="437"/>
      <c r="HI14" s="437"/>
      <c r="HJ14" s="437"/>
      <c r="HK14" s="437"/>
      <c r="HL14" s="437"/>
      <c r="HM14" s="437"/>
      <c r="HN14" s="437"/>
      <c r="HO14" s="437"/>
      <c r="HP14" s="437"/>
      <c r="HQ14" s="437"/>
      <c r="HR14" s="437"/>
      <c r="HS14" s="437"/>
      <c r="HT14" s="437"/>
      <c r="HU14" s="437"/>
      <c r="HV14" s="437"/>
      <c r="HW14" s="437"/>
      <c r="HX14" s="437"/>
      <c r="HY14" s="437"/>
      <c r="HZ14" s="437"/>
      <c r="IA14" s="437"/>
      <c r="IB14" s="437"/>
      <c r="IC14" s="437"/>
      <c r="ID14" s="437"/>
      <c r="IE14" s="437"/>
      <c r="IF14" s="437"/>
      <c r="IG14" s="437"/>
      <c r="IH14" s="437"/>
      <c r="II14" s="437"/>
      <c r="IJ14" s="437"/>
      <c r="IK14" s="437"/>
      <c r="IL14" s="437"/>
      <c r="IM14" s="437"/>
      <c r="IN14" s="437"/>
      <c r="IO14" s="437"/>
      <c r="IP14" s="437"/>
      <c r="IQ14" s="437"/>
    </row>
    <row r="15" spans="1:251" s="25" customFormat="1" ht="20.149999999999999" customHeight="1">
      <c r="A15" s="438" t="s">
        <v>900</v>
      </c>
      <c r="B15" s="437" t="s">
        <v>43</v>
      </c>
      <c r="C15" s="224">
        <v>14.074</v>
      </c>
      <c r="D15" s="224">
        <v>11.859</v>
      </c>
      <c r="E15" s="224">
        <v>10.981999999999999</v>
      </c>
      <c r="F15" s="224">
        <v>7.024</v>
      </c>
      <c r="G15" s="226">
        <v>3.9380000000000002</v>
      </c>
      <c r="H15" s="224">
        <v>3.7890000000000001</v>
      </c>
      <c r="I15" s="228">
        <v>-1.889</v>
      </c>
      <c r="J15" s="224">
        <v>-1.9080000000000001</v>
      </c>
      <c r="K15" s="228">
        <v>0.153</v>
      </c>
      <c r="L15" s="228">
        <v>0.497</v>
      </c>
      <c r="M15" s="224">
        <v>1.278</v>
      </c>
      <c r="N15" s="229">
        <v>0.84199999999999997</v>
      </c>
      <c r="O15" s="229">
        <v>62.46</v>
      </c>
      <c r="P15" s="229">
        <v>116.992</v>
      </c>
      <c r="Q15" s="230">
        <v>171.81100000000001</v>
      </c>
      <c r="R15" s="229">
        <v>52.017000000000003</v>
      </c>
      <c r="S15" s="229">
        <v>105.822</v>
      </c>
      <c r="T15" s="229">
        <v>156.893</v>
      </c>
      <c r="U15" s="230">
        <v>205.185</v>
      </c>
      <c r="V15" s="229">
        <v>46.368000000000002</v>
      </c>
      <c r="W15" s="229">
        <v>93.388999999999996</v>
      </c>
      <c r="X15" s="229">
        <v>140.42699999999999</v>
      </c>
      <c r="Y15" s="230">
        <v>183.81100000000001</v>
      </c>
      <c r="Z15" s="229">
        <v>90.381</v>
      </c>
      <c r="AA15" s="231">
        <v>248.5</v>
      </c>
      <c r="AB15" s="231">
        <v>421.4</v>
      </c>
      <c r="AC15" s="232">
        <v>603.70000000000005</v>
      </c>
      <c r="AD15" s="231">
        <v>177.4</v>
      </c>
      <c r="AE15" s="231">
        <v>348.5</v>
      </c>
      <c r="AF15" s="231">
        <v>581.29999999999995</v>
      </c>
      <c r="AG15" s="232">
        <v>763.6</v>
      </c>
      <c r="AH15" s="231">
        <v>144.69999999999999</v>
      </c>
      <c r="AI15" s="231">
        <v>285.89999999999998</v>
      </c>
      <c r="AJ15" s="231">
        <v>417.4</v>
      </c>
      <c r="AK15" s="232">
        <v>541.9</v>
      </c>
      <c r="AL15" s="231">
        <v>114.5</v>
      </c>
      <c r="AM15" s="231">
        <v>228.7</v>
      </c>
      <c r="AN15" s="231">
        <v>331.1</v>
      </c>
      <c r="AO15" s="232">
        <v>432.3</v>
      </c>
      <c r="AP15" s="507">
        <v>68.5</v>
      </c>
      <c r="AQ15" s="437"/>
      <c r="AR15" s="437"/>
      <c r="AS15" s="247"/>
    </row>
    <row r="16" spans="1:251" s="25" customFormat="1" ht="20.149999999999999" customHeight="1">
      <c r="A16" s="438" t="s">
        <v>901</v>
      </c>
      <c r="B16" s="437" t="s">
        <v>44</v>
      </c>
      <c r="C16" s="224">
        <v>-6.2640000000000002</v>
      </c>
      <c r="D16" s="224">
        <v>-9.0109999999999992</v>
      </c>
      <c r="E16" s="224">
        <v>-27.620999999999999</v>
      </c>
      <c r="F16" s="224">
        <v>-72</v>
      </c>
      <c r="G16" s="226">
        <v>-17.106000000000002</v>
      </c>
      <c r="H16" s="224">
        <v>35.033000000000001</v>
      </c>
      <c r="I16" s="228">
        <v>-72.338000000000008</v>
      </c>
      <c r="J16" s="224">
        <v>-27.092000000000002</v>
      </c>
      <c r="K16" s="228">
        <v>-16.835000000000001</v>
      </c>
      <c r="L16" s="228">
        <v>-42.078000000000003</v>
      </c>
      <c r="M16" s="224">
        <v>-47.977000000000004</v>
      </c>
      <c r="N16" s="229">
        <v>17.195</v>
      </c>
      <c r="O16" s="229">
        <v>14.863</v>
      </c>
      <c r="P16" s="229">
        <v>7.4370000000000003</v>
      </c>
      <c r="Q16" s="230">
        <v>-3.4330000000000003</v>
      </c>
      <c r="R16" s="229">
        <v>-7.2490000000000006</v>
      </c>
      <c r="S16" s="229">
        <v>-7.3810000000000002</v>
      </c>
      <c r="T16" s="229">
        <v>1.093</v>
      </c>
      <c r="U16" s="230">
        <v>16.173000000000002</v>
      </c>
      <c r="V16" s="229">
        <v>11.273</v>
      </c>
      <c r="W16" s="229">
        <v>4.4740000000000002</v>
      </c>
      <c r="X16" s="229">
        <v>5.9119999999999999</v>
      </c>
      <c r="Y16" s="230">
        <v>14.839</v>
      </c>
      <c r="Z16" s="229">
        <v>-16.302</v>
      </c>
      <c r="AA16" s="231">
        <v>-41.8</v>
      </c>
      <c r="AB16" s="231">
        <v>-14.7</v>
      </c>
      <c r="AC16" s="232">
        <v>0.5</v>
      </c>
      <c r="AD16" s="231">
        <v>48.6</v>
      </c>
      <c r="AE16" s="231">
        <v>45.6</v>
      </c>
      <c r="AF16" s="231">
        <v>43.3</v>
      </c>
      <c r="AG16" s="232">
        <v>26.4</v>
      </c>
      <c r="AH16" s="231">
        <v>21.5</v>
      </c>
      <c r="AI16" s="231">
        <v>11.7</v>
      </c>
      <c r="AJ16" s="231">
        <v>0.7</v>
      </c>
      <c r="AK16" s="232">
        <v>3</v>
      </c>
      <c r="AL16" s="231">
        <v>41.5</v>
      </c>
      <c r="AM16" s="231">
        <v>-0.3</v>
      </c>
      <c r="AN16" s="231">
        <v>-16.899999999999999</v>
      </c>
      <c r="AO16" s="232">
        <v>-5</v>
      </c>
      <c r="AP16" s="507">
        <v>7.7</v>
      </c>
      <c r="AS16" s="232"/>
    </row>
    <row r="17" spans="1:45" s="25" customFormat="1" ht="20.149999999999999" customHeight="1">
      <c r="A17" s="438" t="s">
        <v>902</v>
      </c>
      <c r="B17" s="437" t="s">
        <v>45</v>
      </c>
      <c r="C17" s="224">
        <v>-7.4370000000000003</v>
      </c>
      <c r="D17" s="224">
        <v>1.855</v>
      </c>
      <c r="E17" s="224">
        <v>-36.616</v>
      </c>
      <c r="F17" s="224">
        <v>-84.64</v>
      </c>
      <c r="G17" s="226">
        <v>-23.538</v>
      </c>
      <c r="H17" s="224">
        <v>-35.393999999999998</v>
      </c>
      <c r="I17" s="228">
        <v>-1.768</v>
      </c>
      <c r="J17" s="224">
        <v>-6.68</v>
      </c>
      <c r="K17" s="228">
        <v>-85.927000000000007</v>
      </c>
      <c r="L17" s="228">
        <v>-84.462000000000003</v>
      </c>
      <c r="M17" s="224">
        <v>-54.576999999999998</v>
      </c>
      <c r="N17" s="229">
        <v>-61.402000000000001</v>
      </c>
      <c r="O17" s="229">
        <v>-72.569000000000003</v>
      </c>
      <c r="P17" s="229">
        <v>-66.006</v>
      </c>
      <c r="Q17" s="230">
        <v>-63.731999999999999</v>
      </c>
      <c r="R17" s="229">
        <v>-48.496000000000002</v>
      </c>
      <c r="S17" s="229">
        <v>-85.073000000000008</v>
      </c>
      <c r="T17" s="229">
        <v>-90.59</v>
      </c>
      <c r="U17" s="230">
        <v>-106.816</v>
      </c>
      <c r="V17" s="229">
        <v>-18.654</v>
      </c>
      <c r="W17" s="229">
        <v>-16.358000000000001</v>
      </c>
      <c r="X17" s="229">
        <v>16.681000000000001</v>
      </c>
      <c r="Y17" s="230">
        <v>60.908000000000001</v>
      </c>
      <c r="Z17" s="229">
        <v>-5.1610000000000005</v>
      </c>
      <c r="AA17" s="231">
        <v>-29.2</v>
      </c>
      <c r="AB17" s="231">
        <v>-87.6</v>
      </c>
      <c r="AC17" s="232">
        <v>-191.9</v>
      </c>
      <c r="AD17" s="231">
        <v>-211.8</v>
      </c>
      <c r="AE17" s="231">
        <v>-581.20000000000005</v>
      </c>
      <c r="AF17" s="231">
        <v>-349.3</v>
      </c>
      <c r="AG17" s="232">
        <v>-478.2</v>
      </c>
      <c r="AH17" s="231">
        <v>-33.9</v>
      </c>
      <c r="AI17" s="231">
        <v>-105.3</v>
      </c>
      <c r="AJ17" s="231">
        <v>-164.6</v>
      </c>
      <c r="AK17" s="232">
        <v>-329.9</v>
      </c>
      <c r="AL17" s="231">
        <v>21.5</v>
      </c>
      <c r="AM17" s="231">
        <v>-112.7</v>
      </c>
      <c r="AN17" s="231">
        <v>-224.5</v>
      </c>
      <c r="AO17" s="232">
        <v>-470.8</v>
      </c>
      <c r="AP17" s="507">
        <v>38.1</v>
      </c>
      <c r="AS17" s="232"/>
    </row>
    <row r="18" spans="1:45" s="25" customFormat="1" ht="20.149999999999999" customHeight="1">
      <c r="A18" s="438" t="s">
        <v>903</v>
      </c>
      <c r="B18" s="437" t="s">
        <v>127</v>
      </c>
      <c r="C18" s="224">
        <v>-9.1110000000000007</v>
      </c>
      <c r="D18" s="224">
        <v>-1.6040000000000001</v>
      </c>
      <c r="E18" s="224">
        <v>55.74</v>
      </c>
      <c r="F18" s="224">
        <v>120.873</v>
      </c>
      <c r="G18" s="226">
        <v>-49.122</v>
      </c>
      <c r="H18" s="224">
        <v>38.54</v>
      </c>
      <c r="I18" s="228">
        <v>-41.018999999999998</v>
      </c>
      <c r="J18" s="224">
        <v>37.314</v>
      </c>
      <c r="K18" s="228">
        <v>-12.57</v>
      </c>
      <c r="L18" s="228">
        <v>7.5620000000000003</v>
      </c>
      <c r="M18" s="224">
        <v>97.990000000000009</v>
      </c>
      <c r="N18" s="229">
        <v>-14.692</v>
      </c>
      <c r="O18" s="229">
        <v>-81.231999999999999</v>
      </c>
      <c r="P18" s="229">
        <v>-49.021999999999998</v>
      </c>
      <c r="Q18" s="230">
        <v>-59.030999999999999</v>
      </c>
      <c r="R18" s="229">
        <v>53.564</v>
      </c>
      <c r="S18" s="229">
        <v>51.881</v>
      </c>
      <c r="T18" s="229">
        <v>66.406999999999996</v>
      </c>
      <c r="U18" s="230">
        <v>67.872</v>
      </c>
      <c r="V18" s="229">
        <v>-36.840000000000003</v>
      </c>
      <c r="W18" s="229">
        <v>-56.231999999999999</v>
      </c>
      <c r="X18" s="229">
        <v>-85.896000000000001</v>
      </c>
      <c r="Y18" s="230">
        <v>-104.93900000000001</v>
      </c>
      <c r="Z18" s="229">
        <v>31.469000000000001</v>
      </c>
      <c r="AA18" s="231">
        <v>-73.8</v>
      </c>
      <c r="AB18" s="231">
        <v>-175.9</v>
      </c>
      <c r="AC18" s="232">
        <v>-277.7</v>
      </c>
      <c r="AD18" s="231">
        <v>-216.1</v>
      </c>
      <c r="AE18" s="231">
        <v>69.3</v>
      </c>
      <c r="AF18" s="231">
        <v>-184.3</v>
      </c>
      <c r="AG18" s="232">
        <v>-118</v>
      </c>
      <c r="AH18" s="231">
        <v>-205.9</v>
      </c>
      <c r="AI18" s="231">
        <v>-106.7</v>
      </c>
      <c r="AJ18" s="231">
        <v>-141.30000000000001</v>
      </c>
      <c r="AK18" s="232">
        <v>-33.299999999999997</v>
      </c>
      <c r="AL18" s="231">
        <v>-181.5</v>
      </c>
      <c r="AM18" s="231">
        <v>-112.9</v>
      </c>
      <c r="AN18" s="231">
        <v>-90.1</v>
      </c>
      <c r="AO18" s="232">
        <v>183.1</v>
      </c>
      <c r="AP18" s="507">
        <v>-259.2</v>
      </c>
      <c r="AS18" s="232"/>
    </row>
    <row r="19" spans="1:45" s="25" customFormat="1" ht="20.149999999999999" customHeight="1">
      <c r="A19" s="546" t="s">
        <v>1058</v>
      </c>
      <c r="B19" s="545" t="s">
        <v>1059</v>
      </c>
      <c r="C19" s="224"/>
      <c r="D19" s="224"/>
      <c r="E19" s="224"/>
      <c r="F19" s="224"/>
      <c r="G19" s="226"/>
      <c r="H19" s="224"/>
      <c r="I19" s="228"/>
      <c r="J19" s="224"/>
      <c r="K19" s="228"/>
      <c r="L19" s="228"/>
      <c r="M19" s="224"/>
      <c r="N19" s="229"/>
      <c r="O19" s="229"/>
      <c r="P19" s="229"/>
      <c r="Q19" s="230"/>
      <c r="R19" s="229"/>
      <c r="S19" s="229"/>
      <c r="T19" s="229"/>
      <c r="U19" s="230"/>
      <c r="V19" s="229"/>
      <c r="W19" s="229"/>
      <c r="X19" s="229"/>
      <c r="Y19" s="230"/>
      <c r="Z19" s="229"/>
      <c r="AA19" s="231"/>
      <c r="AB19" s="231"/>
      <c r="AC19" s="232"/>
      <c r="AD19" s="231"/>
      <c r="AE19" s="231"/>
      <c r="AF19" s="231"/>
      <c r="AG19" s="232"/>
      <c r="AH19" s="231"/>
      <c r="AI19" s="231"/>
      <c r="AJ19" s="231"/>
      <c r="AK19" s="232"/>
      <c r="AL19" s="231"/>
      <c r="AM19" s="231"/>
      <c r="AN19" s="231"/>
      <c r="AO19" s="232"/>
      <c r="AP19" s="507">
        <v>29.6</v>
      </c>
      <c r="AS19" s="232"/>
    </row>
    <row r="20" spans="1:45" s="25" customFormat="1" ht="20.149999999999999" customHeight="1">
      <c r="A20" s="546" t="s">
        <v>1060</v>
      </c>
      <c r="B20" s="545" t="s">
        <v>1061</v>
      </c>
      <c r="C20" s="224"/>
      <c r="D20" s="224"/>
      <c r="E20" s="224"/>
      <c r="F20" s="224"/>
      <c r="G20" s="226"/>
      <c r="H20" s="224"/>
      <c r="I20" s="228"/>
      <c r="J20" s="224"/>
      <c r="K20" s="228"/>
      <c r="L20" s="228"/>
      <c r="M20" s="224"/>
      <c r="N20" s="229"/>
      <c r="O20" s="229"/>
      <c r="P20" s="229"/>
      <c r="Q20" s="230"/>
      <c r="R20" s="229"/>
      <c r="S20" s="229"/>
      <c r="T20" s="229"/>
      <c r="U20" s="230"/>
      <c r="V20" s="229"/>
      <c r="W20" s="229"/>
      <c r="X20" s="229"/>
      <c r="Y20" s="230"/>
      <c r="Z20" s="229"/>
      <c r="AA20" s="231"/>
      <c r="AB20" s="231"/>
      <c r="AC20" s="232"/>
      <c r="AD20" s="231"/>
      <c r="AE20" s="231"/>
      <c r="AF20" s="231"/>
      <c r="AG20" s="232"/>
      <c r="AH20" s="231"/>
      <c r="AI20" s="231"/>
      <c r="AJ20" s="231"/>
      <c r="AK20" s="232"/>
      <c r="AL20" s="231"/>
      <c r="AM20" s="231"/>
      <c r="AN20" s="231"/>
      <c r="AO20" s="232"/>
      <c r="AP20" s="507">
        <v>-9.6</v>
      </c>
      <c r="AS20" s="232"/>
    </row>
    <row r="21" spans="1:45" s="25" customFormat="1" ht="20.149999999999999" customHeight="1">
      <c r="A21" s="438" t="s">
        <v>904</v>
      </c>
      <c r="B21" s="437" t="s">
        <v>93</v>
      </c>
      <c r="C21" s="230">
        <v>0</v>
      </c>
      <c r="D21" s="230">
        <v>0</v>
      </c>
      <c r="E21" s="230">
        <v>0</v>
      </c>
      <c r="F21" s="230">
        <v>0</v>
      </c>
      <c r="G21" s="229">
        <v>0</v>
      </c>
      <c r="H21" s="230">
        <v>0</v>
      </c>
      <c r="I21" s="229">
        <v>0</v>
      </c>
      <c r="J21" s="230">
        <v>0</v>
      </c>
      <c r="K21" s="229">
        <v>0</v>
      </c>
      <c r="L21" s="229">
        <v>0</v>
      </c>
      <c r="M21" s="230">
        <v>0</v>
      </c>
      <c r="N21" s="229">
        <v>0</v>
      </c>
      <c r="O21" s="229">
        <v>1.4550000000000001</v>
      </c>
      <c r="P21" s="229">
        <v>-5.4160000000000004</v>
      </c>
      <c r="Q21" s="230">
        <v>6.5129999999999999</v>
      </c>
      <c r="R21" s="229">
        <v>-0.186</v>
      </c>
      <c r="S21" s="229">
        <v>4.0730000000000004</v>
      </c>
      <c r="T21" s="229">
        <v>0.502</v>
      </c>
      <c r="U21" s="230">
        <v>2.093</v>
      </c>
      <c r="V21" s="229">
        <v>-1.048</v>
      </c>
      <c r="W21" s="229">
        <v>2.4170000000000003</v>
      </c>
      <c r="X21" s="229">
        <v>-3.5390000000000001</v>
      </c>
      <c r="Y21" s="230">
        <v>6.4770000000000003</v>
      </c>
      <c r="Z21" s="229">
        <v>-13.309000000000001</v>
      </c>
      <c r="AA21" s="231">
        <v>-1.5</v>
      </c>
      <c r="AB21" s="231">
        <v>-17.399999999999999</v>
      </c>
      <c r="AC21" s="232">
        <v>-4.9000000000000004</v>
      </c>
      <c r="AD21" s="231">
        <v>-11.7</v>
      </c>
      <c r="AE21" s="231">
        <v>-7.6</v>
      </c>
      <c r="AF21" s="231">
        <v>-17.7</v>
      </c>
      <c r="AG21" s="232">
        <v>-3.9</v>
      </c>
      <c r="AH21" s="231">
        <v>-11.1</v>
      </c>
      <c r="AI21" s="231">
        <v>1</v>
      </c>
      <c r="AJ21" s="231">
        <v>-5.6</v>
      </c>
      <c r="AK21" s="232">
        <v>-6.1</v>
      </c>
      <c r="AL21" s="439" t="s">
        <v>125</v>
      </c>
      <c r="AM21" s="231">
        <v>9.4</v>
      </c>
      <c r="AN21" s="231">
        <v>1.4</v>
      </c>
      <c r="AO21" s="232">
        <v>3.9</v>
      </c>
      <c r="AP21" s="547" t="s">
        <v>125</v>
      </c>
      <c r="AS21" s="232"/>
    </row>
    <row r="22" spans="1:45" s="25" customFormat="1" ht="20.149999999999999" customHeight="1">
      <c r="A22" s="438" t="s">
        <v>905</v>
      </c>
      <c r="B22" s="437" t="s">
        <v>94</v>
      </c>
      <c r="C22" s="230">
        <v>0</v>
      </c>
      <c r="D22" s="230">
        <v>0</v>
      </c>
      <c r="E22" s="230">
        <v>0</v>
      </c>
      <c r="F22" s="230">
        <v>0</v>
      </c>
      <c r="G22" s="229">
        <v>0</v>
      </c>
      <c r="H22" s="230">
        <v>0</v>
      </c>
      <c r="I22" s="229">
        <v>0</v>
      </c>
      <c r="J22" s="230">
        <v>0</v>
      </c>
      <c r="K22" s="229">
        <v>0</v>
      </c>
      <c r="L22" s="229">
        <v>0</v>
      </c>
      <c r="M22" s="230">
        <v>0</v>
      </c>
      <c r="N22" s="229">
        <v>0</v>
      </c>
      <c r="O22" s="229">
        <v>-1.145</v>
      </c>
      <c r="P22" s="229">
        <v>6.4569999999999999</v>
      </c>
      <c r="Q22" s="230">
        <v>5.8740000000000006</v>
      </c>
      <c r="R22" s="229">
        <v>-9.7880000000000003</v>
      </c>
      <c r="S22" s="229">
        <v>-10.354000000000001</v>
      </c>
      <c r="T22" s="229">
        <v>-21.978000000000002</v>
      </c>
      <c r="U22" s="230">
        <v>-31.345000000000002</v>
      </c>
      <c r="V22" s="229">
        <v>3.66</v>
      </c>
      <c r="W22" s="229">
        <v>9.0690000000000008</v>
      </c>
      <c r="X22" s="229">
        <v>11.329000000000001</v>
      </c>
      <c r="Y22" s="230">
        <v>14.404</v>
      </c>
      <c r="Z22" s="229">
        <v>11.066000000000001</v>
      </c>
      <c r="AA22" s="231">
        <v>11.1</v>
      </c>
      <c r="AB22" s="231">
        <v>-0.2</v>
      </c>
      <c r="AC22" s="232">
        <v>-3.9</v>
      </c>
      <c r="AD22" s="231">
        <v>-0.6</v>
      </c>
      <c r="AE22" s="231">
        <v>5.3</v>
      </c>
      <c r="AF22" s="231">
        <v>4.8</v>
      </c>
      <c r="AG22" s="232">
        <v>6.6</v>
      </c>
      <c r="AH22" s="231">
        <v>2.5</v>
      </c>
      <c r="AI22" s="231">
        <v>4.7</v>
      </c>
      <c r="AJ22" s="231">
        <v>7.3</v>
      </c>
      <c r="AK22" s="232">
        <v>9.8000000000000007</v>
      </c>
      <c r="AL22" s="439" t="s">
        <v>125</v>
      </c>
      <c r="AM22" s="439" t="s">
        <v>125</v>
      </c>
      <c r="AN22" s="439" t="s">
        <v>125</v>
      </c>
      <c r="AO22" s="247" t="s">
        <v>126</v>
      </c>
      <c r="AP22" s="547" t="s">
        <v>125</v>
      </c>
      <c r="AS22" s="232"/>
    </row>
    <row r="23" spans="1:45" s="25" customFormat="1" ht="20.149999999999999" customHeight="1">
      <c r="A23" s="438" t="s">
        <v>1038</v>
      </c>
      <c r="B23" s="437" t="s">
        <v>736</v>
      </c>
      <c r="C23" s="230">
        <v>0</v>
      </c>
      <c r="D23" s="230">
        <v>0</v>
      </c>
      <c r="E23" s="230">
        <v>0</v>
      </c>
      <c r="F23" s="230">
        <v>0</v>
      </c>
      <c r="G23" s="229">
        <v>0</v>
      </c>
      <c r="H23" s="230">
        <v>0</v>
      </c>
      <c r="I23" s="229">
        <v>0</v>
      </c>
      <c r="J23" s="230">
        <v>0</v>
      </c>
      <c r="K23" s="229">
        <v>0</v>
      </c>
      <c r="L23" s="229">
        <v>0</v>
      </c>
      <c r="M23" s="230">
        <v>0</v>
      </c>
      <c r="N23" s="229">
        <v>0</v>
      </c>
      <c r="O23" s="229">
        <v>-0.56900000000000006</v>
      </c>
      <c r="P23" s="229">
        <v>-1.4870000000000001</v>
      </c>
      <c r="Q23" s="230">
        <v>-2.1640000000000001</v>
      </c>
      <c r="R23" s="229">
        <v>-0.73</v>
      </c>
      <c r="S23" s="229">
        <v>-1.5010000000000001</v>
      </c>
      <c r="T23" s="229">
        <v>-2.044</v>
      </c>
      <c r="U23" s="230">
        <v>-2.8970000000000002</v>
      </c>
      <c r="V23" s="229">
        <v>-0.76200000000000001</v>
      </c>
      <c r="W23" s="229">
        <v>-1.58</v>
      </c>
      <c r="X23" s="229">
        <v>-2.3290000000000002</v>
      </c>
      <c r="Y23" s="230">
        <v>-2.9239999999999999</v>
      </c>
      <c r="Z23" s="229">
        <v>-0.63300000000000001</v>
      </c>
      <c r="AA23" s="231">
        <v>-1.3</v>
      </c>
      <c r="AB23" s="231">
        <v>-2</v>
      </c>
      <c r="AC23" s="232">
        <v>-2.6</v>
      </c>
      <c r="AD23" s="231">
        <v>-0.5</v>
      </c>
      <c r="AE23" s="231">
        <v>-1.4</v>
      </c>
      <c r="AF23" s="231">
        <v>-1.9</v>
      </c>
      <c r="AG23" s="232">
        <v>-2.6</v>
      </c>
      <c r="AH23" s="231">
        <v>-0.8</v>
      </c>
      <c r="AI23" s="231">
        <v>0</v>
      </c>
      <c r="AJ23" s="231">
        <v>0</v>
      </c>
      <c r="AK23" s="232">
        <v>0</v>
      </c>
      <c r="AL23" s="439" t="s">
        <v>125</v>
      </c>
      <c r="AM23" s="439" t="s">
        <v>125</v>
      </c>
      <c r="AN23" s="439" t="s">
        <v>125</v>
      </c>
      <c r="AO23" s="247" t="s">
        <v>125</v>
      </c>
      <c r="AP23" s="547" t="s">
        <v>125</v>
      </c>
      <c r="AS23" s="232"/>
    </row>
    <row r="24" spans="1:45" s="25" customFormat="1" ht="20.149999999999999" customHeight="1">
      <c r="A24" s="438" t="s">
        <v>1036</v>
      </c>
      <c r="B24" s="437" t="s">
        <v>1037</v>
      </c>
      <c r="C24" s="230"/>
      <c r="D24" s="230"/>
      <c r="E24" s="230"/>
      <c r="F24" s="230"/>
      <c r="G24" s="229"/>
      <c r="H24" s="230"/>
      <c r="I24" s="229"/>
      <c r="J24" s="230"/>
      <c r="K24" s="229"/>
      <c r="L24" s="229"/>
      <c r="M24" s="230"/>
      <c r="N24" s="229"/>
      <c r="O24" s="229"/>
      <c r="P24" s="229"/>
      <c r="Q24" s="230"/>
      <c r="R24" s="229"/>
      <c r="S24" s="229"/>
      <c r="T24" s="229"/>
      <c r="U24" s="230"/>
      <c r="V24" s="229"/>
      <c r="W24" s="229"/>
      <c r="X24" s="229"/>
      <c r="Y24" s="230"/>
      <c r="Z24" s="229"/>
      <c r="AA24" s="231"/>
      <c r="AB24" s="231"/>
      <c r="AC24" s="232"/>
      <c r="AD24" s="231"/>
      <c r="AE24" s="231"/>
      <c r="AF24" s="231"/>
      <c r="AG24" s="232"/>
      <c r="AH24" s="231"/>
      <c r="AI24" s="231"/>
      <c r="AJ24" s="231"/>
      <c r="AK24" s="232">
        <v>0</v>
      </c>
      <c r="AL24" s="439"/>
      <c r="AM24" s="439"/>
      <c r="AN24" s="439"/>
      <c r="AO24" s="232">
        <v>-2.8</v>
      </c>
      <c r="AP24" s="507">
        <v>-5.2</v>
      </c>
      <c r="AS24" s="232"/>
    </row>
    <row r="25" spans="1:45" s="25" customFormat="1" ht="20.149999999999999" customHeight="1">
      <c r="A25" s="438" t="s">
        <v>906</v>
      </c>
      <c r="B25" s="437" t="s">
        <v>111</v>
      </c>
      <c r="C25" s="224">
        <v>-57.927999999999997</v>
      </c>
      <c r="D25" s="224">
        <v>19.282</v>
      </c>
      <c r="E25" s="224">
        <v>-25.523</v>
      </c>
      <c r="F25" s="224">
        <v>-15.958</v>
      </c>
      <c r="G25" s="226">
        <v>-1.6500000000000001</v>
      </c>
      <c r="H25" s="224">
        <v>-13.944000000000001</v>
      </c>
      <c r="I25" s="228">
        <v>9.5630000000000006</v>
      </c>
      <c r="J25" s="224">
        <v>14.112</v>
      </c>
      <c r="K25" s="228">
        <v>-8.5000000000000006E-2</v>
      </c>
      <c r="L25" s="228">
        <v>1.4E-2</v>
      </c>
      <c r="M25" s="224">
        <v>0.121</v>
      </c>
      <c r="N25" s="229">
        <v>0.64900000000000002</v>
      </c>
      <c r="O25" s="229">
        <v>21.831</v>
      </c>
      <c r="P25" s="229">
        <v>168.727</v>
      </c>
      <c r="Q25" s="230">
        <v>170.38200000000001</v>
      </c>
      <c r="R25" s="229">
        <v>-87.786000000000001</v>
      </c>
      <c r="S25" s="229">
        <v>-51.798000000000002</v>
      </c>
      <c r="T25" s="229">
        <v>-102.06700000000001</v>
      </c>
      <c r="U25" s="230">
        <v>-111.07600000000001</v>
      </c>
      <c r="V25" s="229">
        <v>25.975999999999999</v>
      </c>
      <c r="W25" s="229">
        <v>77.412999999999997</v>
      </c>
      <c r="X25" s="229">
        <v>39.252000000000002</v>
      </c>
      <c r="Y25" s="230">
        <v>16.294</v>
      </c>
      <c r="Z25" s="229">
        <v>10.337</v>
      </c>
      <c r="AA25" s="231">
        <v>8.8000000000000007</v>
      </c>
      <c r="AB25" s="231">
        <v>164.9</v>
      </c>
      <c r="AC25" s="232">
        <v>369.9</v>
      </c>
      <c r="AD25" s="231">
        <v>37.1</v>
      </c>
      <c r="AE25" s="231">
        <v>99.2</v>
      </c>
      <c r="AF25" s="231">
        <v>135.80000000000001</v>
      </c>
      <c r="AG25" s="232">
        <v>222</v>
      </c>
      <c r="AH25" s="231">
        <v>250.2</v>
      </c>
      <c r="AI25" s="231">
        <v>276.10000000000002</v>
      </c>
      <c r="AJ25" s="231">
        <v>258.3</v>
      </c>
      <c r="AK25" s="232">
        <v>270.89999999999998</v>
      </c>
      <c r="AL25" s="231">
        <v>-28.4</v>
      </c>
      <c r="AM25" s="231">
        <v>-27.4</v>
      </c>
      <c r="AN25" s="231">
        <v>-15.1</v>
      </c>
      <c r="AO25" s="232">
        <v>-31.1</v>
      </c>
      <c r="AP25" s="507">
        <v>4.5999999999999996</v>
      </c>
      <c r="AS25" s="232"/>
    </row>
    <row r="26" spans="1:45" s="25" customFormat="1" ht="20.149999999999999" customHeight="1">
      <c r="A26" s="438" t="s">
        <v>907</v>
      </c>
      <c r="B26" s="437" t="s">
        <v>96</v>
      </c>
      <c r="C26" s="230">
        <v>0</v>
      </c>
      <c r="D26" s="230">
        <v>0</v>
      </c>
      <c r="E26" s="230">
        <v>0</v>
      </c>
      <c r="F26" s="230">
        <v>0</v>
      </c>
      <c r="G26" s="229">
        <v>0</v>
      </c>
      <c r="H26" s="230">
        <v>0</v>
      </c>
      <c r="I26" s="229">
        <v>0</v>
      </c>
      <c r="J26" s="230">
        <v>0</v>
      </c>
      <c r="K26" s="229">
        <v>0</v>
      </c>
      <c r="L26" s="229">
        <v>0</v>
      </c>
      <c r="M26" s="230">
        <v>0</v>
      </c>
      <c r="N26" s="229">
        <v>0</v>
      </c>
      <c r="O26" s="229">
        <v>6.2640000000000002</v>
      </c>
      <c r="P26" s="229">
        <v>6.2640000000000002</v>
      </c>
      <c r="Q26" s="230">
        <v>6.2640000000000002</v>
      </c>
      <c r="R26" s="229">
        <v>0</v>
      </c>
      <c r="S26" s="229">
        <v>0</v>
      </c>
      <c r="T26" s="229">
        <v>0</v>
      </c>
      <c r="U26" s="230">
        <v>0</v>
      </c>
      <c r="V26" s="229">
        <v>0</v>
      </c>
      <c r="W26" s="229">
        <v>4.8420000000000005</v>
      </c>
      <c r="X26" s="229">
        <v>4.8420000000000005</v>
      </c>
      <c r="Y26" s="230">
        <v>0</v>
      </c>
      <c r="Z26" s="229">
        <v>0</v>
      </c>
      <c r="AA26" s="439" t="s">
        <v>125</v>
      </c>
      <c r="AB26" s="439" t="s">
        <v>125</v>
      </c>
      <c r="AC26" s="247" t="s">
        <v>125</v>
      </c>
      <c r="AD26" s="439" t="s">
        <v>125</v>
      </c>
      <c r="AE26" s="439" t="s">
        <v>125</v>
      </c>
      <c r="AF26" s="439" t="s">
        <v>125</v>
      </c>
      <c r="AG26" s="247" t="s">
        <v>125</v>
      </c>
      <c r="AH26" s="439" t="s">
        <v>125</v>
      </c>
      <c r="AI26" s="439" t="s">
        <v>125</v>
      </c>
      <c r="AJ26" s="439" t="s">
        <v>125</v>
      </c>
      <c r="AK26" s="247" t="s">
        <v>125</v>
      </c>
      <c r="AL26" s="439" t="s">
        <v>125</v>
      </c>
      <c r="AM26" s="439" t="s">
        <v>125</v>
      </c>
      <c r="AN26" s="439" t="s">
        <v>125</v>
      </c>
      <c r="AO26" s="247" t="s">
        <v>125</v>
      </c>
      <c r="AP26" s="507">
        <v>0</v>
      </c>
      <c r="AS26" s="232"/>
    </row>
    <row r="27" spans="1:45" s="25" customFormat="1" ht="20.149999999999999" customHeight="1">
      <c r="A27" s="438" t="s">
        <v>813</v>
      </c>
      <c r="B27" s="437" t="s">
        <v>46</v>
      </c>
      <c r="C27" s="224">
        <v>7.72</v>
      </c>
      <c r="D27" s="224">
        <v>-2.4119999999999999</v>
      </c>
      <c r="E27" s="224">
        <v>15.081</v>
      </c>
      <c r="F27" s="224">
        <v>26.754999999999999</v>
      </c>
      <c r="G27" s="226">
        <v>34.261000000000003</v>
      </c>
      <c r="H27" s="224">
        <v>63.890999999999998</v>
      </c>
      <c r="I27" s="228">
        <v>30.55</v>
      </c>
      <c r="J27" s="224">
        <v>54.018000000000001</v>
      </c>
      <c r="K27" s="228">
        <v>36.238</v>
      </c>
      <c r="L27" s="228">
        <v>52.167000000000002</v>
      </c>
      <c r="M27" s="224">
        <v>62.812000000000005</v>
      </c>
      <c r="N27" s="229">
        <v>17.234000000000002</v>
      </c>
      <c r="O27" s="229">
        <v>37.716000000000001</v>
      </c>
      <c r="P27" s="229">
        <v>31.164000000000001</v>
      </c>
      <c r="Q27" s="230">
        <v>31.876000000000001</v>
      </c>
      <c r="R27" s="229">
        <v>41.158999999999999</v>
      </c>
      <c r="S27" s="229">
        <v>54.56</v>
      </c>
      <c r="T27" s="229">
        <v>80.768000000000001</v>
      </c>
      <c r="U27" s="230">
        <v>97.349000000000004</v>
      </c>
      <c r="V27" s="229">
        <v>14.031000000000001</v>
      </c>
      <c r="W27" s="229">
        <v>27.457000000000001</v>
      </c>
      <c r="X27" s="229">
        <v>51.835000000000001</v>
      </c>
      <c r="Y27" s="230">
        <v>67.376000000000005</v>
      </c>
      <c r="Z27" s="229">
        <v>14.384</v>
      </c>
      <c r="AA27" s="231">
        <v>31.1</v>
      </c>
      <c r="AB27" s="231">
        <v>32.200000000000003</v>
      </c>
      <c r="AC27" s="232">
        <v>21.7</v>
      </c>
      <c r="AD27" s="231">
        <v>26</v>
      </c>
      <c r="AE27" s="231">
        <v>71.900000000000006</v>
      </c>
      <c r="AF27" s="231">
        <v>182.7</v>
      </c>
      <c r="AG27" s="232">
        <v>169</v>
      </c>
      <c r="AH27" s="231">
        <v>27.2</v>
      </c>
      <c r="AI27" s="231">
        <v>48.4</v>
      </c>
      <c r="AJ27" s="231">
        <v>113.5</v>
      </c>
      <c r="AK27" s="232">
        <v>12.4</v>
      </c>
      <c r="AL27" s="231">
        <v>30.8</v>
      </c>
      <c r="AM27" s="231">
        <v>138.4</v>
      </c>
      <c r="AN27" s="231">
        <v>192.6</v>
      </c>
      <c r="AO27" s="232">
        <v>389.8</v>
      </c>
      <c r="AP27" s="507">
        <v>72.5</v>
      </c>
      <c r="AS27" s="247"/>
    </row>
    <row r="28" spans="1:45" s="25" customFormat="1" ht="20.149999999999999" customHeight="1">
      <c r="A28" s="438" t="s">
        <v>908</v>
      </c>
      <c r="B28" s="437" t="s">
        <v>135</v>
      </c>
      <c r="C28" s="224">
        <v>1.1990000000000001</v>
      </c>
      <c r="D28" s="224">
        <v>18.120999999999999</v>
      </c>
      <c r="E28" s="224">
        <v>11.941000000000001</v>
      </c>
      <c r="F28" s="224">
        <v>-1.8900000000000001</v>
      </c>
      <c r="G28" s="226">
        <v>-5.3999999999999999E-2</v>
      </c>
      <c r="H28" s="224">
        <v>-21.347999999999999</v>
      </c>
      <c r="I28" s="228">
        <v>-31.243000000000002</v>
      </c>
      <c r="J28" s="224">
        <v>-112.637</v>
      </c>
      <c r="K28" s="228">
        <v>-78.103000000000009</v>
      </c>
      <c r="L28" s="228">
        <v>-121.884</v>
      </c>
      <c r="M28" s="224">
        <v>-195.40299999999999</v>
      </c>
      <c r="N28" s="229">
        <v>-64.831000000000003</v>
      </c>
      <c r="O28" s="229">
        <v>-125.45400000000001</v>
      </c>
      <c r="P28" s="229">
        <v>-176.8</v>
      </c>
      <c r="Q28" s="230">
        <v>-229.35300000000001</v>
      </c>
      <c r="R28" s="229">
        <v>-38.363</v>
      </c>
      <c r="S28" s="229">
        <v>-76.626000000000005</v>
      </c>
      <c r="T28" s="229">
        <v>-120.02500000000001</v>
      </c>
      <c r="U28" s="230">
        <v>-164.00800000000001</v>
      </c>
      <c r="V28" s="229">
        <v>-40.92</v>
      </c>
      <c r="W28" s="229">
        <v>-81.858999999999995</v>
      </c>
      <c r="X28" s="229">
        <v>-116.813</v>
      </c>
      <c r="Y28" s="230">
        <v>-158.85900000000001</v>
      </c>
      <c r="Z28" s="229">
        <v>-30.564</v>
      </c>
      <c r="AA28" s="231">
        <v>-65.3</v>
      </c>
      <c r="AB28" s="231">
        <v>-142.1</v>
      </c>
      <c r="AC28" s="232">
        <v>-193.1</v>
      </c>
      <c r="AD28" s="231">
        <v>-43.6</v>
      </c>
      <c r="AE28" s="231">
        <v>-72.2</v>
      </c>
      <c r="AF28" s="231">
        <v>-96.7</v>
      </c>
      <c r="AG28" s="232">
        <v>-134.69999999999999</v>
      </c>
      <c r="AH28" s="231">
        <v>-31.1</v>
      </c>
      <c r="AI28" s="231">
        <v>-71.2</v>
      </c>
      <c r="AJ28" s="231">
        <v>-111</v>
      </c>
      <c r="AK28" s="232">
        <v>-153</v>
      </c>
      <c r="AL28" s="231">
        <v>-33.1</v>
      </c>
      <c r="AM28" s="231">
        <v>-65.599999999999994</v>
      </c>
      <c r="AN28" s="231">
        <v>-97.4</v>
      </c>
      <c r="AO28" s="232">
        <v>-137.5</v>
      </c>
      <c r="AP28" s="507">
        <v>-25.7</v>
      </c>
      <c r="AS28" s="232"/>
    </row>
    <row r="29" spans="1:45" s="25" customFormat="1" ht="23.25" customHeight="1">
      <c r="A29" s="438" t="s">
        <v>1017</v>
      </c>
      <c r="B29" s="223" t="s">
        <v>1018</v>
      </c>
      <c r="C29" s="224">
        <v>0</v>
      </c>
      <c r="D29" s="224">
        <v>0</v>
      </c>
      <c r="E29" s="224">
        <v>0</v>
      </c>
      <c r="F29" s="224">
        <v>0</v>
      </c>
      <c r="G29" s="226">
        <v>0</v>
      </c>
      <c r="H29" s="224">
        <v>0</v>
      </c>
      <c r="I29" s="228">
        <v>0</v>
      </c>
      <c r="J29" s="224">
        <v>0</v>
      </c>
      <c r="K29" s="228">
        <v>0</v>
      </c>
      <c r="L29" s="228">
        <v>0</v>
      </c>
      <c r="M29" s="224">
        <v>0</v>
      </c>
      <c r="N29" s="229">
        <v>0</v>
      </c>
      <c r="O29" s="229">
        <v>0</v>
      </c>
      <c r="P29" s="229">
        <v>0</v>
      </c>
      <c r="Q29" s="230">
        <v>0</v>
      </c>
      <c r="R29" s="229">
        <v>0</v>
      </c>
      <c r="S29" s="229">
        <v>0</v>
      </c>
      <c r="T29" s="229">
        <v>0</v>
      </c>
      <c r="U29" s="230">
        <v>0</v>
      </c>
      <c r="V29" s="229">
        <v>0</v>
      </c>
      <c r="W29" s="229">
        <v>0</v>
      </c>
      <c r="X29" s="229">
        <v>0</v>
      </c>
      <c r="Y29" s="230">
        <v>0</v>
      </c>
      <c r="Z29" s="229">
        <v>0</v>
      </c>
      <c r="AA29" s="231">
        <v>82.1</v>
      </c>
      <c r="AB29" s="231">
        <v>82.1</v>
      </c>
      <c r="AC29" s="232">
        <v>82.1</v>
      </c>
      <c r="AD29" s="231">
        <v>0</v>
      </c>
      <c r="AE29" s="231">
        <v>0</v>
      </c>
      <c r="AF29" s="231">
        <v>-371.4</v>
      </c>
      <c r="AG29" s="232">
        <v>-371.4</v>
      </c>
      <c r="AH29" s="231">
        <v>0</v>
      </c>
      <c r="AI29" s="231">
        <v>0</v>
      </c>
      <c r="AJ29" s="231">
        <v>0</v>
      </c>
      <c r="AK29" s="232">
        <v>0</v>
      </c>
      <c r="AL29" s="231">
        <v>0</v>
      </c>
      <c r="AM29" s="231">
        <v>0</v>
      </c>
      <c r="AN29" s="231">
        <v>0</v>
      </c>
      <c r="AO29" s="232">
        <v>0</v>
      </c>
      <c r="AP29" s="507">
        <v>0</v>
      </c>
      <c r="AS29" s="232"/>
    </row>
    <row r="30" spans="1:45" s="25" customFormat="1" ht="24" customHeight="1">
      <c r="A30" s="438" t="s">
        <v>1042</v>
      </c>
      <c r="B30" s="223" t="s">
        <v>1041</v>
      </c>
      <c r="C30" s="224"/>
      <c r="D30" s="224"/>
      <c r="E30" s="224"/>
      <c r="F30" s="224"/>
      <c r="G30" s="226"/>
      <c r="H30" s="224"/>
      <c r="I30" s="228"/>
      <c r="J30" s="224"/>
      <c r="K30" s="228"/>
      <c r="L30" s="228"/>
      <c r="M30" s="224"/>
      <c r="N30" s="229"/>
      <c r="O30" s="229"/>
      <c r="P30" s="229"/>
      <c r="Q30" s="230"/>
      <c r="R30" s="229"/>
      <c r="S30" s="229"/>
      <c r="T30" s="229"/>
      <c r="U30" s="230"/>
      <c r="V30" s="229"/>
      <c r="W30" s="229"/>
      <c r="X30" s="229"/>
      <c r="Y30" s="230"/>
      <c r="Z30" s="229"/>
      <c r="AA30" s="231"/>
      <c r="AB30" s="231"/>
      <c r="AC30" s="232"/>
      <c r="AD30" s="231"/>
      <c r="AE30" s="231"/>
      <c r="AF30" s="231"/>
      <c r="AG30" s="232"/>
      <c r="AH30" s="231"/>
      <c r="AI30" s="231"/>
      <c r="AJ30" s="231">
        <v>0</v>
      </c>
      <c r="AK30" s="232">
        <v>0</v>
      </c>
      <c r="AL30" s="231">
        <v>58.7</v>
      </c>
      <c r="AM30" s="231">
        <v>58.7</v>
      </c>
      <c r="AN30" s="231">
        <v>58.7</v>
      </c>
      <c r="AO30" s="232">
        <v>58.7</v>
      </c>
      <c r="AP30" s="507">
        <v>0</v>
      </c>
      <c r="AS30" s="232"/>
    </row>
    <row r="31" spans="1:45" s="25" customFormat="1" ht="20.149999999999999" customHeight="1">
      <c r="A31" s="438" t="s">
        <v>1027</v>
      </c>
      <c r="B31" s="437" t="s">
        <v>1014</v>
      </c>
      <c r="C31" s="224"/>
      <c r="D31" s="224"/>
      <c r="E31" s="224"/>
      <c r="F31" s="225">
        <v>0</v>
      </c>
      <c r="G31" s="226">
        <v>0</v>
      </c>
      <c r="H31" s="225">
        <v>0</v>
      </c>
      <c r="I31" s="226">
        <v>0</v>
      </c>
      <c r="J31" s="227">
        <v>0</v>
      </c>
      <c r="K31" s="440">
        <v>0</v>
      </c>
      <c r="L31" s="440">
        <v>0</v>
      </c>
      <c r="M31" s="227">
        <v>0</v>
      </c>
      <c r="N31" s="229">
        <v>0</v>
      </c>
      <c r="O31" s="229">
        <v>0</v>
      </c>
      <c r="P31" s="229">
        <v>0</v>
      </c>
      <c r="Q31" s="230">
        <v>0</v>
      </c>
      <c r="R31" s="229">
        <v>0</v>
      </c>
      <c r="S31" s="229">
        <v>0</v>
      </c>
      <c r="T31" s="229">
        <v>0</v>
      </c>
      <c r="U31" s="230">
        <v>0</v>
      </c>
      <c r="V31" s="229">
        <v>0</v>
      </c>
      <c r="W31" s="229">
        <v>0</v>
      </c>
      <c r="X31" s="229">
        <v>0</v>
      </c>
      <c r="Y31" s="230">
        <v>0</v>
      </c>
      <c r="Z31" s="229">
        <v>0</v>
      </c>
      <c r="AA31" s="231">
        <v>16.5</v>
      </c>
      <c r="AB31" s="231">
        <v>55.4</v>
      </c>
      <c r="AC31" s="232">
        <v>84.3</v>
      </c>
      <c r="AD31" s="231">
        <v>10.6</v>
      </c>
      <c r="AE31" s="231">
        <v>33.9</v>
      </c>
      <c r="AF31" s="231">
        <v>37.6</v>
      </c>
      <c r="AG31" s="232">
        <v>53</v>
      </c>
      <c r="AH31" s="231">
        <v>-174.6</v>
      </c>
      <c r="AI31" s="231">
        <v>-160.19999999999999</v>
      </c>
      <c r="AJ31" s="231">
        <v>-161.9</v>
      </c>
      <c r="AK31" s="232">
        <v>-164.9</v>
      </c>
      <c r="AL31" s="231">
        <v>-0.1</v>
      </c>
      <c r="AM31" s="231">
        <v>0.9</v>
      </c>
      <c r="AN31" s="231">
        <v>-1.3</v>
      </c>
      <c r="AO31" s="232">
        <v>-1.5</v>
      </c>
      <c r="AP31" s="547" t="s">
        <v>125</v>
      </c>
      <c r="AS31" s="232"/>
    </row>
    <row r="32" spans="1:45" s="25" customFormat="1" ht="20.149999999999999" customHeight="1" thickBot="1">
      <c r="A32" s="438" t="s">
        <v>909</v>
      </c>
      <c r="B32" s="437" t="s">
        <v>47</v>
      </c>
      <c r="C32" s="224">
        <v>0.70299999999999996</v>
      </c>
      <c r="D32" s="224">
        <v>6.8360000000000003</v>
      </c>
      <c r="E32" s="224">
        <v>0.79700000000000004</v>
      </c>
      <c r="F32" s="224">
        <v>19.884</v>
      </c>
      <c r="G32" s="226">
        <v>3.4889999999999999</v>
      </c>
      <c r="H32" s="224">
        <v>-6.3E-2</v>
      </c>
      <c r="I32" s="228">
        <v>1.8000000000000002E-2</v>
      </c>
      <c r="J32" s="224">
        <v>0.79400000000000004</v>
      </c>
      <c r="K32" s="228">
        <v>1.044</v>
      </c>
      <c r="L32" s="228">
        <v>1.395</v>
      </c>
      <c r="M32" s="224">
        <v>2.3679999999999999</v>
      </c>
      <c r="N32" s="229">
        <v>0.10400000000000001</v>
      </c>
      <c r="O32" s="229">
        <v>0.58199999999999996</v>
      </c>
      <c r="P32" s="229">
        <v>1.6919999999999999</v>
      </c>
      <c r="Q32" s="230">
        <v>3.6920000000000002</v>
      </c>
      <c r="R32" s="229">
        <v>0.245</v>
      </c>
      <c r="S32" s="229">
        <v>0.78500000000000003</v>
      </c>
      <c r="T32" s="229">
        <v>1.31</v>
      </c>
      <c r="U32" s="230">
        <v>3.5380000000000003</v>
      </c>
      <c r="V32" s="229">
        <v>1.484</v>
      </c>
      <c r="W32" s="229">
        <v>4.1970000000000001</v>
      </c>
      <c r="X32" s="229">
        <v>5.8520000000000003</v>
      </c>
      <c r="Y32" s="230">
        <v>11.93</v>
      </c>
      <c r="Z32" s="229">
        <v>1.7790000000000001</v>
      </c>
      <c r="AA32" s="231">
        <f>10.8</f>
        <v>10.8</v>
      </c>
      <c r="AB32" s="231">
        <f>11.7</f>
        <v>11.7</v>
      </c>
      <c r="AC32" s="232">
        <f>96.1</f>
        <v>96.1</v>
      </c>
      <c r="AD32" s="231">
        <v>-3</v>
      </c>
      <c r="AE32" s="231">
        <v>9</v>
      </c>
      <c r="AF32" s="231">
        <v>19.600000000000001</v>
      </c>
      <c r="AG32" s="232">
        <v>21.6</v>
      </c>
      <c r="AH32" s="231">
        <v>2.5</v>
      </c>
      <c r="AI32" s="231">
        <v>-1.9</v>
      </c>
      <c r="AJ32" s="231">
        <v>22.5</v>
      </c>
      <c r="AK32" s="232">
        <v>24</v>
      </c>
      <c r="AL32" s="231">
        <v>-2.1</v>
      </c>
      <c r="AM32" s="231">
        <v>18.100000000000001</v>
      </c>
      <c r="AN32" s="231">
        <v>51.1</v>
      </c>
      <c r="AO32" s="232">
        <v>55.5</v>
      </c>
      <c r="AP32" s="507">
        <v>-18.2</v>
      </c>
      <c r="AS32" s="232"/>
    </row>
    <row r="33" spans="1:45" s="25" customFormat="1" ht="20.149999999999999" customHeight="1" thickBot="1">
      <c r="A33" s="399" t="s">
        <v>910</v>
      </c>
      <c r="B33" s="399" t="s">
        <v>50</v>
      </c>
      <c r="C33" s="445">
        <f>C6+C7</f>
        <v>30.151000000000003</v>
      </c>
      <c r="D33" s="445">
        <f t="shared" ref="D33:AO33" si="1">D6+D7</f>
        <v>60.338999999999984</v>
      </c>
      <c r="E33" s="445">
        <f t="shared" si="1"/>
        <v>78.335999999999999</v>
      </c>
      <c r="F33" s="445">
        <f t="shared" si="1"/>
        <v>134.73100000000002</v>
      </c>
      <c r="G33" s="446">
        <f t="shared" si="1"/>
        <v>102.48299999999998</v>
      </c>
      <c r="H33" s="445">
        <f t="shared" si="1"/>
        <v>363.803</v>
      </c>
      <c r="I33" s="446">
        <f t="shared" si="1"/>
        <v>38.188999999999993</v>
      </c>
      <c r="J33" s="445">
        <f t="shared" si="1"/>
        <v>230.13300000000004</v>
      </c>
      <c r="K33" s="446">
        <f t="shared" si="1"/>
        <v>32.331999999999994</v>
      </c>
      <c r="L33" s="446">
        <f t="shared" si="1"/>
        <v>93.929000000000016</v>
      </c>
      <c r="M33" s="445">
        <f t="shared" si="1"/>
        <v>208.31200000000004</v>
      </c>
      <c r="N33" s="447">
        <f t="shared" si="1"/>
        <v>-2.0000000000010232E-2</v>
      </c>
      <c r="O33" s="447">
        <f t="shared" si="1"/>
        <v>95.454999999999984</v>
      </c>
      <c r="P33" s="447">
        <f t="shared" si="1"/>
        <v>258.79700000000003</v>
      </c>
      <c r="Q33" s="448">
        <f t="shared" si="1"/>
        <v>370.91700000000009</v>
      </c>
      <c r="R33" s="447">
        <f t="shared" si="1"/>
        <v>233.42699999999999</v>
      </c>
      <c r="S33" s="447">
        <f t="shared" si="1"/>
        <v>415.61099999999999</v>
      </c>
      <c r="T33" s="447">
        <f t="shared" si="1"/>
        <v>628.7700000000001</v>
      </c>
      <c r="U33" s="448">
        <f t="shared" si="1"/>
        <v>843.21800000000007</v>
      </c>
      <c r="V33" s="447">
        <f t="shared" si="1"/>
        <v>165.66199999999998</v>
      </c>
      <c r="W33" s="447">
        <f t="shared" si="1"/>
        <v>351.928</v>
      </c>
      <c r="X33" s="447">
        <f t="shared" si="1"/>
        <v>548.24400000000003</v>
      </c>
      <c r="Y33" s="448">
        <f t="shared" si="1"/>
        <v>859.7349999999999</v>
      </c>
      <c r="Z33" s="447">
        <f t="shared" si="1"/>
        <v>184.70400000000001</v>
      </c>
      <c r="AA33" s="284">
        <f t="shared" si="1"/>
        <v>735.69999999999982</v>
      </c>
      <c r="AB33" s="284">
        <f t="shared" si="1"/>
        <v>1423.9000000000003</v>
      </c>
      <c r="AC33" s="283">
        <f t="shared" si="1"/>
        <v>2117.7999999999988</v>
      </c>
      <c r="AD33" s="284">
        <f t="shared" si="1"/>
        <v>453.00000000000011</v>
      </c>
      <c r="AE33" s="284">
        <f t="shared" si="1"/>
        <v>1327.9999999999995</v>
      </c>
      <c r="AF33" s="284">
        <f t="shared" si="1"/>
        <v>2173.4999999999991</v>
      </c>
      <c r="AG33" s="283">
        <f t="shared" si="1"/>
        <v>2985.0999999999995</v>
      </c>
      <c r="AH33" s="284">
        <f t="shared" si="1"/>
        <v>584.4</v>
      </c>
      <c r="AI33" s="284">
        <f t="shared" si="1"/>
        <v>1549.4</v>
      </c>
      <c r="AJ33" s="284">
        <f t="shared" si="1"/>
        <v>2357.5</v>
      </c>
      <c r="AK33" s="283">
        <f t="shared" si="1"/>
        <v>3151.5</v>
      </c>
      <c r="AL33" s="284">
        <f t="shared" si="1"/>
        <v>780.69999999999993</v>
      </c>
      <c r="AM33" s="284">
        <f t="shared" si="1"/>
        <v>1615.9</v>
      </c>
      <c r="AN33" s="284">
        <f t="shared" si="1"/>
        <v>2245.6999999999998</v>
      </c>
      <c r="AO33" s="283">
        <f t="shared" si="1"/>
        <v>3126.3</v>
      </c>
      <c r="AP33" s="284">
        <f>AP6+AP7</f>
        <v>633.10000000000014</v>
      </c>
      <c r="AQ33" s="284"/>
      <c r="AR33" s="284"/>
      <c r="AS33" s="283"/>
    </row>
    <row r="34" spans="1:45" s="25" customFormat="1" ht="20.149999999999999" customHeight="1">
      <c r="A34" s="438" t="s">
        <v>911</v>
      </c>
      <c r="B34" s="437" t="s">
        <v>48</v>
      </c>
      <c r="C34" s="230">
        <v>0</v>
      </c>
      <c r="D34" s="230">
        <v>0</v>
      </c>
      <c r="E34" s="230">
        <v>0</v>
      </c>
      <c r="F34" s="224">
        <v>-29.722000000000001</v>
      </c>
      <c r="G34" s="226">
        <v>-21.702999999999999</v>
      </c>
      <c r="H34" s="225">
        <v>-56.069000000000003</v>
      </c>
      <c r="I34" s="226">
        <v>-25.89</v>
      </c>
      <c r="J34" s="227">
        <v>-52.709000000000003</v>
      </c>
      <c r="K34" s="228">
        <v>-1.0669999999999999</v>
      </c>
      <c r="L34" s="228">
        <v>-2.0619999999999998</v>
      </c>
      <c r="M34" s="224">
        <v>-11.974</v>
      </c>
      <c r="N34" s="229">
        <v>-5.3440000000000003</v>
      </c>
      <c r="O34" s="229">
        <v>-10.32</v>
      </c>
      <c r="P34" s="229">
        <v>-20.519000000000002</v>
      </c>
      <c r="Q34" s="230">
        <v>-34.222000000000001</v>
      </c>
      <c r="R34" s="229">
        <v>-12.561</v>
      </c>
      <c r="S34" s="229">
        <v>-47.188000000000002</v>
      </c>
      <c r="T34" s="229">
        <v>-59.765999999999998</v>
      </c>
      <c r="U34" s="230">
        <v>-78.733000000000004</v>
      </c>
      <c r="V34" s="229">
        <v>-13.763</v>
      </c>
      <c r="W34" s="229">
        <v>-26.318999999999999</v>
      </c>
      <c r="X34" s="229">
        <v>-37.451999999999998</v>
      </c>
      <c r="Y34" s="230">
        <v>-67.486000000000004</v>
      </c>
      <c r="Z34" s="229">
        <v>-17.809000000000001</v>
      </c>
      <c r="AA34" s="231">
        <v>-99.5</v>
      </c>
      <c r="AB34" s="231">
        <v>-135.19999999999999</v>
      </c>
      <c r="AC34" s="232">
        <v>-189.1</v>
      </c>
      <c r="AD34" s="231">
        <v>-48.5</v>
      </c>
      <c r="AE34" s="231">
        <v>-44.2</v>
      </c>
      <c r="AF34" s="231">
        <v>-94.2</v>
      </c>
      <c r="AG34" s="232">
        <v>-136.19999999999999</v>
      </c>
      <c r="AH34" s="231">
        <v>-145.69999999999999</v>
      </c>
      <c r="AI34" s="231">
        <v>-186.5</v>
      </c>
      <c r="AJ34" s="231">
        <v>-236.1</v>
      </c>
      <c r="AK34" s="232">
        <v>-292.7</v>
      </c>
      <c r="AL34" s="231">
        <v>-43.5</v>
      </c>
      <c r="AM34" s="507">
        <v>-112.5</v>
      </c>
      <c r="AN34" s="231">
        <v>-181.5</v>
      </c>
      <c r="AO34" s="232">
        <v>-216.2</v>
      </c>
      <c r="AP34" s="507">
        <v>-70.599999999999994</v>
      </c>
      <c r="AS34" s="232"/>
    </row>
    <row r="35" spans="1:45" s="25" customFormat="1" ht="20.149999999999999" customHeight="1" thickBot="1">
      <c r="A35" s="438" t="s">
        <v>912</v>
      </c>
      <c r="B35" s="437" t="s">
        <v>49</v>
      </c>
      <c r="C35" s="224">
        <v>1.9</v>
      </c>
      <c r="D35" s="224">
        <v>2.34</v>
      </c>
      <c r="E35" s="224">
        <v>2.9740000000000002</v>
      </c>
      <c r="F35" s="224">
        <v>6.2010000000000005</v>
      </c>
      <c r="G35" s="226">
        <v>2.9820000000000002</v>
      </c>
      <c r="H35" s="225">
        <v>8.4420000000000002</v>
      </c>
      <c r="I35" s="226">
        <v>4.3170000000000002</v>
      </c>
      <c r="J35" s="227">
        <v>6.0179999999999998</v>
      </c>
      <c r="K35" s="228">
        <v>0.77500000000000002</v>
      </c>
      <c r="L35" s="228">
        <v>1.0309999999999999</v>
      </c>
      <c r="M35" s="224">
        <v>1.196</v>
      </c>
      <c r="N35" s="229">
        <v>0.218</v>
      </c>
      <c r="O35" s="229">
        <v>3.403</v>
      </c>
      <c r="P35" s="229">
        <v>6.6669999999999998</v>
      </c>
      <c r="Q35" s="230">
        <v>10.351000000000001</v>
      </c>
      <c r="R35" s="229">
        <v>3.843</v>
      </c>
      <c r="S35" s="229">
        <v>8.1440000000000001</v>
      </c>
      <c r="T35" s="229">
        <v>12.96</v>
      </c>
      <c r="U35" s="230">
        <v>16.882000000000001</v>
      </c>
      <c r="V35" s="229">
        <v>3.544</v>
      </c>
      <c r="W35" s="229">
        <v>6.1040000000000001</v>
      </c>
      <c r="X35" s="229">
        <v>8.5630000000000006</v>
      </c>
      <c r="Y35" s="230">
        <v>10.41</v>
      </c>
      <c r="Z35" s="229">
        <v>2.165</v>
      </c>
      <c r="AA35" s="231">
        <v>13.4</v>
      </c>
      <c r="AB35" s="231">
        <v>33.1</v>
      </c>
      <c r="AC35" s="232">
        <v>45.2</v>
      </c>
      <c r="AD35" s="231">
        <v>13.2</v>
      </c>
      <c r="AE35" s="231">
        <v>20.5</v>
      </c>
      <c r="AF35" s="231">
        <v>30.5</v>
      </c>
      <c r="AG35" s="232">
        <v>38.799999999999997</v>
      </c>
      <c r="AH35" s="231">
        <v>8.1</v>
      </c>
      <c r="AI35" s="231">
        <v>13.1</v>
      </c>
      <c r="AJ35" s="231">
        <v>19.5</v>
      </c>
      <c r="AK35" s="232">
        <v>25.9</v>
      </c>
      <c r="AL35" s="231">
        <v>14.5</v>
      </c>
      <c r="AM35" s="507">
        <v>16</v>
      </c>
      <c r="AN35" s="231">
        <v>23.5</v>
      </c>
      <c r="AO35" s="232">
        <v>31.3</v>
      </c>
      <c r="AP35" s="507">
        <v>7.5</v>
      </c>
      <c r="AS35" s="232"/>
    </row>
    <row r="36" spans="1:45" s="25" customFormat="1" ht="20.149999999999999" customHeight="1" thickBot="1">
      <c r="A36" s="399" t="s">
        <v>913</v>
      </c>
      <c r="B36" s="399" t="s">
        <v>136</v>
      </c>
      <c r="C36" s="445">
        <f t="shared" ref="C36:AK36" si="2">SUM(C33:C35)</f>
        <v>32.051000000000002</v>
      </c>
      <c r="D36" s="445">
        <f t="shared" si="2"/>
        <v>62.678999999999988</v>
      </c>
      <c r="E36" s="445">
        <f t="shared" si="2"/>
        <v>81.31</v>
      </c>
      <c r="F36" s="445">
        <f t="shared" si="2"/>
        <v>111.21000000000001</v>
      </c>
      <c r="G36" s="446">
        <f t="shared" si="2"/>
        <v>83.761999999999972</v>
      </c>
      <c r="H36" s="445">
        <f t="shared" si="2"/>
        <v>316.17599999999999</v>
      </c>
      <c r="I36" s="446">
        <f t="shared" si="2"/>
        <v>16.615999999999993</v>
      </c>
      <c r="J36" s="445">
        <f t="shared" si="2"/>
        <v>183.44200000000004</v>
      </c>
      <c r="K36" s="446">
        <f t="shared" si="2"/>
        <v>32.039999999999992</v>
      </c>
      <c r="L36" s="446">
        <f t="shared" si="2"/>
        <v>92.898000000000025</v>
      </c>
      <c r="M36" s="445">
        <f t="shared" si="2"/>
        <v>197.53400000000005</v>
      </c>
      <c r="N36" s="447">
        <f t="shared" si="2"/>
        <v>-5.1460000000000106</v>
      </c>
      <c r="O36" s="447">
        <f t="shared" si="2"/>
        <v>88.537999999999997</v>
      </c>
      <c r="P36" s="447">
        <f t="shared" si="2"/>
        <v>244.94500000000002</v>
      </c>
      <c r="Q36" s="448">
        <f t="shared" si="2"/>
        <v>347.04600000000011</v>
      </c>
      <c r="R36" s="447">
        <f t="shared" si="2"/>
        <v>224.70899999999997</v>
      </c>
      <c r="S36" s="447">
        <f t="shared" si="2"/>
        <v>376.56700000000001</v>
      </c>
      <c r="T36" s="447">
        <f t="shared" si="2"/>
        <v>581.96400000000017</v>
      </c>
      <c r="U36" s="448">
        <f t="shared" si="2"/>
        <v>781.36700000000008</v>
      </c>
      <c r="V36" s="447">
        <f t="shared" si="2"/>
        <v>155.44299999999998</v>
      </c>
      <c r="W36" s="447">
        <f t="shared" si="2"/>
        <v>331.71299999999997</v>
      </c>
      <c r="X36" s="447">
        <f t="shared" si="2"/>
        <v>519.35500000000002</v>
      </c>
      <c r="Y36" s="448">
        <f t="shared" si="2"/>
        <v>802.65899999999988</v>
      </c>
      <c r="Z36" s="447">
        <f t="shared" si="2"/>
        <v>169.06</v>
      </c>
      <c r="AA36" s="284">
        <f t="shared" si="2"/>
        <v>649.5999999999998</v>
      </c>
      <c r="AB36" s="284">
        <f t="shared" si="2"/>
        <v>1321.8000000000002</v>
      </c>
      <c r="AC36" s="283">
        <f t="shared" si="2"/>
        <v>1973.899999999999</v>
      </c>
      <c r="AD36" s="284">
        <f t="shared" si="2"/>
        <v>417.7000000000001</v>
      </c>
      <c r="AE36" s="284">
        <f t="shared" si="2"/>
        <v>1304.2999999999995</v>
      </c>
      <c r="AF36" s="284">
        <f t="shared" si="2"/>
        <v>2109.7999999999993</v>
      </c>
      <c r="AG36" s="283">
        <f t="shared" si="2"/>
        <v>2887.7</v>
      </c>
      <c r="AH36" s="284">
        <f t="shared" si="2"/>
        <v>446.8</v>
      </c>
      <c r="AI36" s="284">
        <f t="shared" si="2"/>
        <v>1376</v>
      </c>
      <c r="AJ36" s="284">
        <f t="shared" si="2"/>
        <v>2140.9</v>
      </c>
      <c r="AK36" s="283">
        <f t="shared" si="2"/>
        <v>2884.7000000000003</v>
      </c>
      <c r="AL36" s="284">
        <f t="shared" ref="AL36:AO36" si="3">SUM(AL33:AL35)</f>
        <v>751.69999999999993</v>
      </c>
      <c r="AM36" s="284">
        <f t="shared" si="3"/>
        <v>1519.4</v>
      </c>
      <c r="AN36" s="284">
        <f t="shared" si="3"/>
        <v>2087.6999999999998</v>
      </c>
      <c r="AO36" s="283">
        <f t="shared" si="3"/>
        <v>2941.4000000000005</v>
      </c>
      <c r="AP36" s="548">
        <f t="shared" ref="AP36" si="4">SUM(AP33:AP35)</f>
        <v>570.00000000000011</v>
      </c>
      <c r="AQ36" s="284"/>
      <c r="AR36" s="284"/>
      <c r="AS36" s="283"/>
    </row>
    <row r="37" spans="1:45" s="25" customFormat="1" ht="20.149999999999999" customHeight="1">
      <c r="A37" s="438" t="s">
        <v>914</v>
      </c>
      <c r="B37" s="437" t="s">
        <v>52</v>
      </c>
      <c r="C37" s="224">
        <v>-14.032999999999999</v>
      </c>
      <c r="D37" s="224">
        <v>-8.9469999999999992</v>
      </c>
      <c r="E37" s="224">
        <v>-26.38</v>
      </c>
      <c r="F37" s="225">
        <v>-43.45</v>
      </c>
      <c r="G37" s="226">
        <v>-23.513000000000002</v>
      </c>
      <c r="H37" s="225">
        <v>-48.109000000000002</v>
      </c>
      <c r="I37" s="226">
        <v>-12.329000000000001</v>
      </c>
      <c r="J37" s="227">
        <v>-26.524000000000001</v>
      </c>
      <c r="K37" s="228">
        <v>-18.382999999999999</v>
      </c>
      <c r="L37" s="228">
        <v>-25.279</v>
      </c>
      <c r="M37" s="224">
        <v>-28.713000000000001</v>
      </c>
      <c r="N37" s="229">
        <v>-8.104000000000001</v>
      </c>
      <c r="O37" s="229">
        <v>-13.634</v>
      </c>
      <c r="P37" s="229">
        <v>-25.91</v>
      </c>
      <c r="Q37" s="230">
        <v>-39.241</v>
      </c>
      <c r="R37" s="229">
        <v>-13.759</v>
      </c>
      <c r="S37" s="229">
        <v>-28.18</v>
      </c>
      <c r="T37" s="229">
        <v>-40.478000000000002</v>
      </c>
      <c r="U37" s="230">
        <v>-54.936999999999998</v>
      </c>
      <c r="V37" s="229">
        <v>-21.702999999999999</v>
      </c>
      <c r="W37" s="229">
        <v>-40.633000000000003</v>
      </c>
      <c r="X37" s="229">
        <v>-53.000999999999998</v>
      </c>
      <c r="Y37" s="230">
        <v>-60.844999999999999</v>
      </c>
      <c r="Z37" s="229">
        <v>-19.433</v>
      </c>
      <c r="AA37" s="231">
        <v>-93</v>
      </c>
      <c r="AB37" s="231">
        <v>-180</v>
      </c>
      <c r="AC37" s="232">
        <v>-263.60000000000002</v>
      </c>
      <c r="AD37" s="231">
        <v>-137.6</v>
      </c>
      <c r="AE37" s="231">
        <v>-187</v>
      </c>
      <c r="AF37" s="231">
        <v>-323.2</v>
      </c>
      <c r="AG37" s="232">
        <v>-417.8</v>
      </c>
      <c r="AH37" s="231">
        <v>-98.4</v>
      </c>
      <c r="AI37" s="231">
        <v>-179.5</v>
      </c>
      <c r="AJ37" s="231">
        <v>-301.2</v>
      </c>
      <c r="AK37" s="232">
        <v>-436.2</v>
      </c>
      <c r="AL37" s="231">
        <v>-138.9</v>
      </c>
      <c r="AM37" s="507">
        <v>-268.8</v>
      </c>
      <c r="AN37" s="231">
        <v>-418.9</v>
      </c>
      <c r="AO37" s="232">
        <v>-524.79999999999995</v>
      </c>
      <c r="AP37" s="507">
        <v>-131.6</v>
      </c>
      <c r="AS37" s="232"/>
    </row>
    <row r="38" spans="1:45" s="25" customFormat="1" ht="20.149999999999999" customHeight="1">
      <c r="A38" s="438" t="s">
        <v>915</v>
      </c>
      <c r="B38" s="437" t="s">
        <v>51</v>
      </c>
      <c r="C38" s="224">
        <v>-4.4710000000000001</v>
      </c>
      <c r="D38" s="224">
        <v>-4.2240000000000002</v>
      </c>
      <c r="E38" s="224">
        <v>-1.2929999999999999</v>
      </c>
      <c r="F38" s="224">
        <v>-11.508000000000001</v>
      </c>
      <c r="G38" s="226">
        <v>-5.4260000000000002</v>
      </c>
      <c r="H38" s="225">
        <v>-7.484</v>
      </c>
      <c r="I38" s="226">
        <v>-4.0250000000000004</v>
      </c>
      <c r="J38" s="227">
        <v>-10.53</v>
      </c>
      <c r="K38" s="228">
        <v>-7.423</v>
      </c>
      <c r="L38" s="228">
        <v>-13.311</v>
      </c>
      <c r="M38" s="224">
        <v>-16.88</v>
      </c>
      <c r="N38" s="229">
        <v>-3.2810000000000001</v>
      </c>
      <c r="O38" s="229">
        <v>-6.9729999999999999</v>
      </c>
      <c r="P38" s="229">
        <v>-16.027999999999999</v>
      </c>
      <c r="Q38" s="230">
        <v>-26.433</v>
      </c>
      <c r="R38" s="229">
        <v>-7.0449999999999999</v>
      </c>
      <c r="S38" s="229">
        <v>-11.33</v>
      </c>
      <c r="T38" s="229">
        <v>-23.225000000000001</v>
      </c>
      <c r="U38" s="230">
        <v>-36.24</v>
      </c>
      <c r="V38" s="229">
        <v>-13.377000000000001</v>
      </c>
      <c r="W38" s="229">
        <v>-20.378</v>
      </c>
      <c r="X38" s="229">
        <v>-45.453000000000003</v>
      </c>
      <c r="Y38" s="230">
        <v>-62.041000000000004</v>
      </c>
      <c r="Z38" s="229">
        <v>-19.987000000000002</v>
      </c>
      <c r="AA38" s="231">
        <v>-46.6</v>
      </c>
      <c r="AB38" s="231">
        <v>-57.4</v>
      </c>
      <c r="AC38" s="232">
        <v>-71.8</v>
      </c>
      <c r="AD38" s="231">
        <v>-19.100000000000001</v>
      </c>
      <c r="AE38" s="231">
        <v>-90.7</v>
      </c>
      <c r="AF38" s="231">
        <v>-111.1</v>
      </c>
      <c r="AG38" s="232">
        <v>-165.3</v>
      </c>
      <c r="AH38" s="231">
        <v>-20.3</v>
      </c>
      <c r="AI38" s="231">
        <v>-61.3</v>
      </c>
      <c r="AJ38" s="231">
        <v>-94.6</v>
      </c>
      <c r="AK38" s="232">
        <v>-154.19999999999999</v>
      </c>
      <c r="AL38" s="231">
        <v>-33.200000000000003</v>
      </c>
      <c r="AM38" s="507">
        <v>-114.2</v>
      </c>
      <c r="AN38" s="231">
        <v>-137.30000000000001</v>
      </c>
      <c r="AO38" s="232">
        <v>-214.3</v>
      </c>
      <c r="AP38" s="507">
        <v>-42.8</v>
      </c>
      <c r="AS38" s="232"/>
    </row>
    <row r="39" spans="1:45" s="25" customFormat="1" ht="20.149999999999999" customHeight="1">
      <c r="A39" s="438" t="s">
        <v>923</v>
      </c>
      <c r="B39" s="437" t="s">
        <v>117</v>
      </c>
      <c r="C39" s="230">
        <v>0</v>
      </c>
      <c r="D39" s="230">
        <v>0</v>
      </c>
      <c r="E39" s="230">
        <v>0</v>
      </c>
      <c r="F39" s="230">
        <v>0</v>
      </c>
      <c r="G39" s="229">
        <v>0</v>
      </c>
      <c r="H39" s="230">
        <v>0</v>
      </c>
      <c r="I39" s="229">
        <v>0</v>
      </c>
      <c r="J39" s="230">
        <v>0</v>
      </c>
      <c r="K39" s="229">
        <v>0</v>
      </c>
      <c r="L39" s="229">
        <v>0</v>
      </c>
      <c r="M39" s="230">
        <v>0</v>
      </c>
      <c r="N39" s="229">
        <v>0</v>
      </c>
      <c r="O39" s="229">
        <v>0</v>
      </c>
      <c r="P39" s="229">
        <v>0</v>
      </c>
      <c r="Q39" s="230">
        <v>-14.684000000000001</v>
      </c>
      <c r="R39" s="229">
        <v>0</v>
      </c>
      <c r="S39" s="229">
        <v>0</v>
      </c>
      <c r="T39" s="229">
        <v>0</v>
      </c>
      <c r="U39" s="230">
        <v>0</v>
      </c>
      <c r="V39" s="229">
        <v>0</v>
      </c>
      <c r="W39" s="229">
        <v>0</v>
      </c>
      <c r="X39" s="229">
        <v>0</v>
      </c>
      <c r="Y39" s="230">
        <v>0</v>
      </c>
      <c r="Z39" s="229">
        <v>0</v>
      </c>
      <c r="AA39" s="231">
        <v>0</v>
      </c>
      <c r="AB39" s="231">
        <v>0</v>
      </c>
      <c r="AC39" s="232">
        <v>0</v>
      </c>
      <c r="AD39" s="231">
        <v>0</v>
      </c>
      <c r="AE39" s="231">
        <v>0</v>
      </c>
      <c r="AF39" s="231">
        <v>0</v>
      </c>
      <c r="AG39" s="232">
        <v>0</v>
      </c>
      <c r="AH39" s="231">
        <v>0</v>
      </c>
      <c r="AI39" s="231">
        <v>0</v>
      </c>
      <c r="AJ39" s="231">
        <v>0</v>
      </c>
      <c r="AK39" s="232">
        <v>0</v>
      </c>
      <c r="AL39" s="231">
        <v>0</v>
      </c>
      <c r="AM39" s="231">
        <v>0</v>
      </c>
      <c r="AN39" s="231">
        <v>0</v>
      </c>
      <c r="AO39" s="232">
        <v>-9.3000000000000007</v>
      </c>
      <c r="AP39" s="507">
        <v>0</v>
      </c>
      <c r="AS39" s="232"/>
    </row>
    <row r="40" spans="1:45" s="25" customFormat="1" ht="20.149999999999999" customHeight="1">
      <c r="A40" s="438" t="s">
        <v>916</v>
      </c>
      <c r="B40" s="437" t="s">
        <v>732</v>
      </c>
      <c r="C40" s="230"/>
      <c r="D40" s="230"/>
      <c r="E40" s="230"/>
      <c r="F40" s="230"/>
      <c r="G40" s="229"/>
      <c r="H40" s="230"/>
      <c r="I40" s="229"/>
      <c r="J40" s="230"/>
      <c r="K40" s="229"/>
      <c r="L40" s="229"/>
      <c r="M40" s="224"/>
      <c r="N40" s="229"/>
      <c r="O40" s="229"/>
      <c r="P40" s="229"/>
      <c r="Q40" s="230"/>
      <c r="R40" s="229"/>
      <c r="S40" s="229"/>
      <c r="T40" s="229"/>
      <c r="U40" s="230"/>
      <c r="V40" s="229"/>
      <c r="W40" s="229"/>
      <c r="X40" s="229"/>
      <c r="Y40" s="230"/>
      <c r="Z40" s="229"/>
      <c r="AA40" s="231"/>
      <c r="AB40" s="231">
        <v>-482.3</v>
      </c>
      <c r="AC40" s="232">
        <v>-482.3</v>
      </c>
      <c r="AD40" s="231">
        <v>0</v>
      </c>
      <c r="AE40" s="231">
        <v>0</v>
      </c>
      <c r="AF40" s="231">
        <v>-118.7</v>
      </c>
      <c r="AG40" s="232">
        <v>-118.7</v>
      </c>
      <c r="AH40" s="231">
        <v>-147.69999999999999</v>
      </c>
      <c r="AI40" s="231">
        <v>-147.69999999999999</v>
      </c>
      <c r="AJ40" s="231">
        <v>-268.5</v>
      </c>
      <c r="AK40" s="232">
        <v>-268.5</v>
      </c>
      <c r="AL40" s="496" t="s">
        <v>1</v>
      </c>
      <c r="AM40" s="508" t="s">
        <v>1</v>
      </c>
      <c r="AN40" s="231">
        <v>-120.7</v>
      </c>
      <c r="AO40" s="232">
        <v>-120.7</v>
      </c>
      <c r="AP40" s="549">
        <v>0</v>
      </c>
      <c r="AS40" s="232"/>
    </row>
    <row r="41" spans="1:45" s="25" customFormat="1" ht="20.149999999999999" customHeight="1">
      <c r="A41" s="438" t="s">
        <v>917</v>
      </c>
      <c r="B41" s="437" t="s">
        <v>64</v>
      </c>
      <c r="C41" s="230">
        <v>0</v>
      </c>
      <c r="D41" s="230">
        <v>0</v>
      </c>
      <c r="E41" s="224">
        <v>-28.795999999999999</v>
      </c>
      <c r="F41" s="230">
        <v>0</v>
      </c>
      <c r="G41" s="229">
        <v>0</v>
      </c>
      <c r="H41" s="230">
        <v>0</v>
      </c>
      <c r="I41" s="229">
        <v>0</v>
      </c>
      <c r="J41" s="230">
        <v>0</v>
      </c>
      <c r="K41" s="229">
        <v>0</v>
      </c>
      <c r="L41" s="229">
        <v>0</v>
      </c>
      <c r="M41" s="230">
        <v>0</v>
      </c>
      <c r="N41" s="229">
        <v>0</v>
      </c>
      <c r="O41" s="229">
        <v>0</v>
      </c>
      <c r="P41" s="229">
        <v>0</v>
      </c>
      <c r="Q41" s="230">
        <v>0</v>
      </c>
      <c r="R41" s="229">
        <v>0</v>
      </c>
      <c r="S41" s="229">
        <v>0</v>
      </c>
      <c r="T41" s="229">
        <v>0</v>
      </c>
      <c r="U41" s="230">
        <v>0</v>
      </c>
      <c r="V41" s="229">
        <v>0</v>
      </c>
      <c r="W41" s="229">
        <v>0</v>
      </c>
      <c r="X41" s="229">
        <v>0</v>
      </c>
      <c r="Y41" s="230">
        <v>0</v>
      </c>
      <c r="Z41" s="229">
        <v>0</v>
      </c>
      <c r="AA41" s="231">
        <v>0</v>
      </c>
      <c r="AB41" s="231">
        <v>0</v>
      </c>
      <c r="AC41" s="232">
        <v>0</v>
      </c>
      <c r="AD41" s="231">
        <v>0</v>
      </c>
      <c r="AE41" s="231">
        <v>0</v>
      </c>
      <c r="AF41" s="231">
        <v>0</v>
      </c>
      <c r="AG41" s="232">
        <v>0</v>
      </c>
      <c r="AH41" s="231">
        <v>0</v>
      </c>
      <c r="AI41" s="231">
        <v>0</v>
      </c>
      <c r="AJ41" s="231">
        <v>0</v>
      </c>
      <c r="AK41" s="232">
        <v>0</v>
      </c>
      <c r="AL41" s="231">
        <v>0</v>
      </c>
      <c r="AM41" s="231">
        <v>0</v>
      </c>
      <c r="AN41" s="231">
        <v>0</v>
      </c>
      <c r="AO41" s="232">
        <v>0</v>
      </c>
      <c r="AP41" s="549">
        <v>0</v>
      </c>
      <c r="AS41" s="232"/>
    </row>
    <row r="42" spans="1:45" s="25" customFormat="1" ht="20.149999999999999" customHeight="1">
      <c r="A42" s="438" t="s">
        <v>918</v>
      </c>
      <c r="B42" s="437" t="s">
        <v>65</v>
      </c>
      <c r="C42" s="224">
        <v>-13.2</v>
      </c>
      <c r="D42" s="224">
        <v>-4</v>
      </c>
      <c r="E42" s="224">
        <v>-15.303000000000001</v>
      </c>
      <c r="F42" s="230">
        <v>0</v>
      </c>
      <c r="G42" s="229">
        <v>0</v>
      </c>
      <c r="H42" s="230">
        <v>0</v>
      </c>
      <c r="I42" s="226">
        <v>-53.396000000000001</v>
      </c>
      <c r="J42" s="227">
        <v>-53.396000000000001</v>
      </c>
      <c r="K42" s="229">
        <v>0</v>
      </c>
      <c r="L42" s="229">
        <v>0</v>
      </c>
      <c r="M42" s="230">
        <v>0</v>
      </c>
      <c r="N42" s="229">
        <v>0</v>
      </c>
      <c r="O42" s="229">
        <v>0</v>
      </c>
      <c r="P42" s="229">
        <v>0</v>
      </c>
      <c r="Q42" s="230">
        <v>0</v>
      </c>
      <c r="R42" s="229">
        <v>0</v>
      </c>
      <c r="S42" s="229">
        <v>0</v>
      </c>
      <c r="T42" s="229">
        <v>0</v>
      </c>
      <c r="U42" s="230">
        <v>0</v>
      </c>
      <c r="V42" s="229">
        <v>0</v>
      </c>
      <c r="W42" s="229">
        <v>0</v>
      </c>
      <c r="X42" s="229">
        <v>0</v>
      </c>
      <c r="Y42" s="230">
        <v>0</v>
      </c>
      <c r="Z42" s="229">
        <v>0</v>
      </c>
      <c r="AA42" s="231">
        <v>0</v>
      </c>
      <c r="AB42" s="231">
        <v>0</v>
      </c>
      <c r="AC42" s="232">
        <v>0</v>
      </c>
      <c r="AD42" s="231">
        <v>0</v>
      </c>
      <c r="AE42" s="231">
        <v>0</v>
      </c>
      <c r="AF42" s="231">
        <v>0</v>
      </c>
      <c r="AG42" s="232">
        <v>0</v>
      </c>
      <c r="AH42" s="231">
        <v>0</v>
      </c>
      <c r="AI42" s="231">
        <v>0</v>
      </c>
      <c r="AJ42" s="231">
        <v>0</v>
      </c>
      <c r="AK42" s="232">
        <v>0</v>
      </c>
      <c r="AL42" s="231">
        <v>0</v>
      </c>
      <c r="AM42" s="231">
        <v>0</v>
      </c>
      <c r="AN42" s="231">
        <v>0</v>
      </c>
      <c r="AO42" s="232">
        <v>0</v>
      </c>
      <c r="AP42" s="549">
        <v>0</v>
      </c>
      <c r="AS42" s="232"/>
    </row>
    <row r="43" spans="1:45" s="25" customFormat="1" ht="20.149999999999999" customHeight="1">
      <c r="A43" s="438" t="s">
        <v>1062</v>
      </c>
      <c r="B43" s="437" t="s">
        <v>1064</v>
      </c>
      <c r="C43" s="224"/>
      <c r="D43" s="224"/>
      <c r="E43" s="224"/>
      <c r="F43" s="230"/>
      <c r="G43" s="229"/>
      <c r="H43" s="230"/>
      <c r="I43" s="226"/>
      <c r="J43" s="227"/>
      <c r="K43" s="229"/>
      <c r="L43" s="229"/>
      <c r="M43" s="230"/>
      <c r="N43" s="229"/>
      <c r="O43" s="229"/>
      <c r="P43" s="229"/>
      <c r="Q43" s="230"/>
      <c r="R43" s="229"/>
      <c r="S43" s="229"/>
      <c r="T43" s="229"/>
      <c r="U43" s="230"/>
      <c r="V43" s="229"/>
      <c r="W43" s="229"/>
      <c r="X43" s="229"/>
      <c r="Y43" s="230"/>
      <c r="Z43" s="229"/>
      <c r="AA43" s="231"/>
      <c r="AB43" s="231"/>
      <c r="AC43" s="232"/>
      <c r="AD43" s="231"/>
      <c r="AE43" s="231"/>
      <c r="AF43" s="231"/>
      <c r="AG43" s="232"/>
      <c r="AH43" s="231">
        <v>0</v>
      </c>
      <c r="AI43" s="231">
        <v>0</v>
      </c>
      <c r="AJ43" s="231">
        <v>0</v>
      </c>
      <c r="AK43" s="232">
        <v>0</v>
      </c>
      <c r="AL43" s="231">
        <v>0</v>
      </c>
      <c r="AM43" s="231">
        <v>0</v>
      </c>
      <c r="AN43" s="231">
        <v>0</v>
      </c>
      <c r="AO43" s="232">
        <v>-662.5</v>
      </c>
      <c r="AP43" s="507">
        <v>-11.3</v>
      </c>
      <c r="AS43" s="232"/>
    </row>
    <row r="44" spans="1:45" s="25" customFormat="1" ht="20.149999999999999" customHeight="1">
      <c r="A44" s="438" t="s">
        <v>919</v>
      </c>
      <c r="B44" s="437" t="s">
        <v>141</v>
      </c>
      <c r="C44" s="230">
        <v>0</v>
      </c>
      <c r="D44" s="230">
        <v>0</v>
      </c>
      <c r="E44" s="230">
        <v>0</v>
      </c>
      <c r="F44" s="230">
        <v>0</v>
      </c>
      <c r="G44" s="229">
        <v>0</v>
      </c>
      <c r="H44" s="230">
        <v>0</v>
      </c>
      <c r="I44" s="229">
        <v>0</v>
      </c>
      <c r="J44" s="227">
        <v>-24.801000000000002</v>
      </c>
      <c r="K44" s="228">
        <v>-30.552</v>
      </c>
      <c r="L44" s="228">
        <v>-33.271000000000001</v>
      </c>
      <c r="M44" s="224">
        <v>-33.271000000000001</v>
      </c>
      <c r="N44" s="229">
        <v>-0.23200000000000001</v>
      </c>
      <c r="O44" s="228">
        <v>-2336.6970000000001</v>
      </c>
      <c r="P44" s="228">
        <v>-2336.6970000000001</v>
      </c>
      <c r="Q44" s="224">
        <v>-2336.6979999999999</v>
      </c>
      <c r="R44" s="229">
        <v>-2.3290000000000002</v>
      </c>
      <c r="S44" s="229">
        <v>-45.099000000000004</v>
      </c>
      <c r="T44" s="229">
        <v>-45.329000000000001</v>
      </c>
      <c r="U44" s="230">
        <v>-45.710999999999999</v>
      </c>
      <c r="V44" s="229">
        <v>-0.153</v>
      </c>
      <c r="W44" s="229">
        <v>-0.26800000000000002</v>
      </c>
      <c r="X44" s="229">
        <v>-64.186999999999998</v>
      </c>
      <c r="Y44" s="230">
        <v>-64.266000000000005</v>
      </c>
      <c r="Z44" s="229">
        <v>0</v>
      </c>
      <c r="AA44" s="231">
        <v>1800.4</v>
      </c>
      <c r="AB44" s="231">
        <v>1800.4</v>
      </c>
      <c r="AC44" s="232">
        <v>1800.4</v>
      </c>
      <c r="AD44" s="231">
        <v>-4.2</v>
      </c>
      <c r="AE44" s="231">
        <v>-29.5</v>
      </c>
      <c r="AF44" s="231">
        <v>-29.5</v>
      </c>
      <c r="AG44" s="232">
        <v>-29.5</v>
      </c>
      <c r="AH44" s="231">
        <v>262.2</v>
      </c>
      <c r="AI44" s="231">
        <v>-145.30000000000001</v>
      </c>
      <c r="AJ44" s="231">
        <v>-144.4</v>
      </c>
      <c r="AK44" s="232">
        <v>-144.4</v>
      </c>
      <c r="AL44" s="231">
        <v>0</v>
      </c>
      <c r="AM44" s="231">
        <v>0</v>
      </c>
      <c r="AN44" s="231">
        <v>1.6</v>
      </c>
      <c r="AO44" s="232">
        <v>-66.8</v>
      </c>
      <c r="AP44" s="549">
        <v>-16.7</v>
      </c>
      <c r="AS44" s="232"/>
    </row>
    <row r="45" spans="1:45" s="25" customFormat="1" ht="20.149999999999999" customHeight="1">
      <c r="A45" s="438" t="s">
        <v>920</v>
      </c>
      <c r="B45" s="437" t="s">
        <v>779</v>
      </c>
      <c r="C45" s="230">
        <v>0</v>
      </c>
      <c r="D45" s="230">
        <v>0</v>
      </c>
      <c r="E45" s="230">
        <v>0</v>
      </c>
      <c r="F45" s="230">
        <v>0</v>
      </c>
      <c r="G45" s="229">
        <v>0</v>
      </c>
      <c r="H45" s="230">
        <v>0</v>
      </c>
      <c r="I45" s="229">
        <v>0</v>
      </c>
      <c r="J45" s="230">
        <v>0</v>
      </c>
      <c r="K45" s="229">
        <v>0</v>
      </c>
      <c r="L45" s="229">
        <v>0</v>
      </c>
      <c r="M45" s="230">
        <v>0</v>
      </c>
      <c r="N45" s="229">
        <v>0</v>
      </c>
      <c r="O45" s="229">
        <v>0</v>
      </c>
      <c r="P45" s="229">
        <v>0</v>
      </c>
      <c r="Q45" s="230">
        <v>0</v>
      </c>
      <c r="R45" s="229">
        <v>0</v>
      </c>
      <c r="S45" s="229">
        <v>0</v>
      </c>
      <c r="T45" s="229">
        <v>0</v>
      </c>
      <c r="U45" s="230">
        <v>0</v>
      </c>
      <c r="V45" s="229">
        <v>0</v>
      </c>
      <c r="W45" s="229">
        <v>0</v>
      </c>
      <c r="X45" s="229">
        <v>48.219000000000001</v>
      </c>
      <c r="Y45" s="230">
        <v>48.736000000000004</v>
      </c>
      <c r="Z45" s="229">
        <v>0</v>
      </c>
      <c r="AA45" s="231">
        <v>0</v>
      </c>
      <c r="AB45" s="231">
        <v>0</v>
      </c>
      <c r="AC45" s="232">
        <v>0</v>
      </c>
      <c r="AD45" s="231">
        <v>0</v>
      </c>
      <c r="AE45" s="231">
        <v>0</v>
      </c>
      <c r="AF45" s="231">
        <v>0</v>
      </c>
      <c r="AG45" s="232">
        <v>0</v>
      </c>
      <c r="AH45" s="231">
        <v>0</v>
      </c>
      <c r="AI45" s="231">
        <v>0.2</v>
      </c>
      <c r="AJ45" s="231">
        <v>0.2</v>
      </c>
      <c r="AK45" s="232">
        <v>0</v>
      </c>
      <c r="AL45" s="231">
        <v>0</v>
      </c>
      <c r="AM45" s="231">
        <v>0</v>
      </c>
      <c r="AN45" s="231">
        <v>0</v>
      </c>
      <c r="AO45" s="232">
        <v>0</v>
      </c>
      <c r="AP45" s="507">
        <v>0</v>
      </c>
      <c r="AS45" s="232"/>
    </row>
    <row r="46" spans="1:45" s="25" customFormat="1" ht="20.149999999999999" customHeight="1">
      <c r="A46" s="438" t="s">
        <v>921</v>
      </c>
      <c r="B46" s="437" t="s">
        <v>66</v>
      </c>
      <c r="C46" s="224">
        <v>2.371</v>
      </c>
      <c r="D46" s="224">
        <v>15.548</v>
      </c>
      <c r="E46" s="224">
        <v>33.008000000000003</v>
      </c>
      <c r="F46" s="224">
        <v>0.6</v>
      </c>
      <c r="G46" s="229">
        <v>0</v>
      </c>
      <c r="H46" s="230">
        <v>0</v>
      </c>
      <c r="I46" s="226">
        <v>53.725999999999999</v>
      </c>
      <c r="J46" s="227">
        <v>53.725999999999999</v>
      </c>
      <c r="K46" s="229">
        <v>0</v>
      </c>
      <c r="L46" s="229">
        <v>0</v>
      </c>
      <c r="M46" s="230">
        <v>0</v>
      </c>
      <c r="N46" s="229">
        <v>0</v>
      </c>
      <c r="O46" s="229">
        <v>0</v>
      </c>
      <c r="P46" s="229">
        <v>0</v>
      </c>
      <c r="Q46" s="230">
        <v>0</v>
      </c>
      <c r="R46" s="229">
        <v>0</v>
      </c>
      <c r="S46" s="229">
        <v>0</v>
      </c>
      <c r="T46" s="229">
        <v>0</v>
      </c>
      <c r="U46" s="230">
        <v>0</v>
      </c>
      <c r="V46" s="229">
        <v>0</v>
      </c>
      <c r="W46" s="229">
        <v>0</v>
      </c>
      <c r="X46" s="229">
        <v>0</v>
      </c>
      <c r="Y46" s="230">
        <v>0</v>
      </c>
      <c r="Z46" s="229">
        <v>0</v>
      </c>
      <c r="AA46" s="231">
        <v>0</v>
      </c>
      <c r="AB46" s="231">
        <v>0</v>
      </c>
      <c r="AC46" s="232">
        <v>0</v>
      </c>
      <c r="AD46" s="231">
        <v>0</v>
      </c>
      <c r="AE46" s="231">
        <v>0</v>
      </c>
      <c r="AF46" s="231">
        <v>0</v>
      </c>
      <c r="AG46" s="232">
        <v>0</v>
      </c>
      <c r="AH46" s="231">
        <v>0</v>
      </c>
      <c r="AI46" s="231">
        <v>0</v>
      </c>
      <c r="AJ46" s="231">
        <v>0</v>
      </c>
      <c r="AK46" s="232">
        <v>0</v>
      </c>
      <c r="AL46" s="231">
        <v>0</v>
      </c>
      <c r="AM46" s="231">
        <v>0</v>
      </c>
      <c r="AN46" s="231">
        <v>0</v>
      </c>
      <c r="AO46" s="232">
        <v>0</v>
      </c>
      <c r="AP46" s="507">
        <v>0</v>
      </c>
      <c r="AS46" s="232"/>
    </row>
    <row r="47" spans="1:45" s="25" customFormat="1" ht="20.149999999999999" customHeight="1">
      <c r="A47" s="438" t="s">
        <v>922</v>
      </c>
      <c r="B47" s="437" t="s">
        <v>76</v>
      </c>
      <c r="C47" s="230">
        <v>0</v>
      </c>
      <c r="D47" s="230">
        <v>0</v>
      </c>
      <c r="E47" s="230">
        <v>0</v>
      </c>
      <c r="F47" s="230">
        <v>0</v>
      </c>
      <c r="G47" s="226">
        <v>8.5000000000000006E-2</v>
      </c>
      <c r="H47" s="225">
        <v>9.8000000000000004E-2</v>
      </c>
      <c r="I47" s="226">
        <v>2E-3</v>
      </c>
      <c r="J47" s="227">
        <v>4.2000000000000003E-2</v>
      </c>
      <c r="K47" s="228">
        <v>1.054</v>
      </c>
      <c r="L47" s="228">
        <v>1.282</v>
      </c>
      <c r="M47" s="224">
        <v>1.387</v>
      </c>
      <c r="N47" s="229">
        <v>1.9E-2</v>
      </c>
      <c r="O47" s="229">
        <v>0.20800000000000002</v>
      </c>
      <c r="P47" s="229">
        <v>0.47200000000000003</v>
      </c>
      <c r="Q47" s="230">
        <v>0.999</v>
      </c>
      <c r="R47" s="229">
        <v>0.09</v>
      </c>
      <c r="S47" s="229">
        <v>0.121</v>
      </c>
      <c r="T47" s="229">
        <v>0.69000000000000006</v>
      </c>
      <c r="U47" s="230">
        <v>0.751</v>
      </c>
      <c r="V47" s="229">
        <v>0.35000000000000003</v>
      </c>
      <c r="W47" s="229">
        <v>0.41000000000000003</v>
      </c>
      <c r="X47" s="229">
        <v>1.756</v>
      </c>
      <c r="Y47" s="230">
        <v>2.0640000000000001</v>
      </c>
      <c r="Z47" s="229">
        <v>0.33700000000000002</v>
      </c>
      <c r="AA47" s="231">
        <v>1.6</v>
      </c>
      <c r="AB47" s="231">
        <v>4</v>
      </c>
      <c r="AC47" s="232">
        <v>4.0999999999999996</v>
      </c>
      <c r="AD47" s="231">
        <v>0.2</v>
      </c>
      <c r="AE47" s="231">
        <v>13.3</v>
      </c>
      <c r="AF47" s="231">
        <v>15.1</v>
      </c>
      <c r="AG47" s="232">
        <v>16.899999999999999</v>
      </c>
      <c r="AH47" s="231">
        <v>3.5</v>
      </c>
      <c r="AI47" s="231">
        <v>5</v>
      </c>
      <c r="AJ47" s="231">
        <v>6.3</v>
      </c>
      <c r="AK47" s="232">
        <v>9.5</v>
      </c>
      <c r="AL47" s="231">
        <v>12.8</v>
      </c>
      <c r="AM47" s="231">
        <v>16</v>
      </c>
      <c r="AN47" s="231">
        <v>15.8</v>
      </c>
      <c r="AO47" s="232">
        <v>19.3</v>
      </c>
      <c r="AP47" s="507">
        <v>3.4</v>
      </c>
      <c r="AS47" s="232"/>
    </row>
    <row r="48" spans="1:45" s="25" customFormat="1" ht="20.149999999999999" customHeight="1">
      <c r="A48" s="551" t="s">
        <v>1063</v>
      </c>
      <c r="B48" s="437" t="s">
        <v>1065</v>
      </c>
      <c r="C48" s="230"/>
      <c r="D48" s="230"/>
      <c r="E48" s="230"/>
      <c r="F48" s="230"/>
      <c r="G48" s="226"/>
      <c r="H48" s="225"/>
      <c r="I48" s="226"/>
      <c r="J48" s="227"/>
      <c r="K48" s="228"/>
      <c r="L48" s="228"/>
      <c r="M48" s="224"/>
      <c r="N48" s="229"/>
      <c r="O48" s="229"/>
      <c r="P48" s="229"/>
      <c r="Q48" s="230"/>
      <c r="R48" s="229"/>
      <c r="S48" s="229"/>
      <c r="T48" s="229"/>
      <c r="U48" s="230"/>
      <c r="V48" s="229"/>
      <c r="W48" s="229"/>
      <c r="X48" s="229"/>
      <c r="Y48" s="230"/>
      <c r="Z48" s="229"/>
      <c r="AA48" s="231"/>
      <c r="AB48" s="231"/>
      <c r="AC48" s="232"/>
      <c r="AD48" s="231"/>
      <c r="AE48" s="231"/>
      <c r="AF48" s="231"/>
      <c r="AG48" s="232"/>
      <c r="AH48" s="231"/>
      <c r="AI48" s="231"/>
      <c r="AJ48" s="231"/>
      <c r="AK48" s="232"/>
      <c r="AL48" s="231"/>
      <c r="AM48" s="231"/>
      <c r="AN48" s="231"/>
      <c r="AO48" s="232"/>
      <c r="AP48" s="507">
        <v>-45</v>
      </c>
      <c r="AS48" s="232"/>
    </row>
    <row r="49" spans="1:45" s="25" customFormat="1" ht="20.149999999999999" customHeight="1">
      <c r="A49" s="438" t="s">
        <v>924</v>
      </c>
      <c r="B49" s="437" t="s">
        <v>118</v>
      </c>
      <c r="C49" s="230">
        <v>0</v>
      </c>
      <c r="D49" s="230">
        <v>0</v>
      </c>
      <c r="E49" s="230">
        <v>0</v>
      </c>
      <c r="F49" s="230">
        <v>0</v>
      </c>
      <c r="G49" s="229">
        <v>0</v>
      </c>
      <c r="H49" s="230">
        <v>0</v>
      </c>
      <c r="I49" s="229">
        <v>0</v>
      </c>
      <c r="J49" s="230">
        <v>0</v>
      </c>
      <c r="K49" s="229">
        <v>0</v>
      </c>
      <c r="L49" s="229">
        <v>0</v>
      </c>
      <c r="M49" s="230">
        <v>0</v>
      </c>
      <c r="N49" s="229">
        <v>0</v>
      </c>
      <c r="O49" s="229">
        <v>0</v>
      </c>
      <c r="P49" s="229">
        <v>0</v>
      </c>
      <c r="Q49" s="230">
        <v>-12</v>
      </c>
      <c r="R49" s="229">
        <v>0</v>
      </c>
      <c r="S49" s="229">
        <v>0</v>
      </c>
      <c r="T49" s="229">
        <v>0</v>
      </c>
      <c r="U49" s="230">
        <v>0</v>
      </c>
      <c r="V49" s="229">
        <v>0</v>
      </c>
      <c r="W49" s="229">
        <v>0</v>
      </c>
      <c r="X49" s="229">
        <v>0</v>
      </c>
      <c r="Y49" s="230">
        <v>0</v>
      </c>
      <c r="Z49" s="229">
        <v>0</v>
      </c>
      <c r="AA49" s="231">
        <v>0</v>
      </c>
      <c r="AB49" s="231">
        <v>0</v>
      </c>
      <c r="AC49" s="232">
        <v>0</v>
      </c>
      <c r="AD49" s="231">
        <v>0</v>
      </c>
      <c r="AE49" s="231">
        <v>0</v>
      </c>
      <c r="AF49" s="231">
        <v>0</v>
      </c>
      <c r="AG49" s="232">
        <v>0</v>
      </c>
      <c r="AH49" s="231">
        <v>0</v>
      </c>
      <c r="AI49" s="231">
        <v>0</v>
      </c>
      <c r="AJ49" s="231">
        <v>0</v>
      </c>
      <c r="AK49" s="232">
        <v>0</v>
      </c>
      <c r="AL49" s="231">
        <v>0</v>
      </c>
      <c r="AM49" s="231">
        <v>0</v>
      </c>
      <c r="AN49" s="231">
        <v>0</v>
      </c>
      <c r="AO49" s="232">
        <v>0</v>
      </c>
      <c r="AP49" s="507">
        <v>0</v>
      </c>
      <c r="AS49" s="232"/>
    </row>
    <row r="50" spans="1:45" s="25" customFormat="1" ht="20.149999999999999" customHeight="1">
      <c r="A50" s="438" t="s">
        <v>854</v>
      </c>
      <c r="B50" s="437" t="s">
        <v>178</v>
      </c>
      <c r="C50" s="230"/>
      <c r="D50" s="230"/>
      <c r="E50" s="230"/>
      <c r="F50" s="230">
        <v>0</v>
      </c>
      <c r="G50" s="229">
        <v>0</v>
      </c>
      <c r="H50" s="230">
        <v>0</v>
      </c>
      <c r="I50" s="229">
        <v>0</v>
      </c>
      <c r="J50" s="230">
        <v>0</v>
      </c>
      <c r="K50" s="229">
        <v>0</v>
      </c>
      <c r="L50" s="229">
        <v>0</v>
      </c>
      <c r="M50" s="230">
        <v>0</v>
      </c>
      <c r="N50" s="229">
        <v>0</v>
      </c>
      <c r="O50" s="229">
        <v>0</v>
      </c>
      <c r="P50" s="229">
        <v>0</v>
      </c>
      <c r="Q50" s="230">
        <v>0</v>
      </c>
      <c r="R50" s="229">
        <v>0</v>
      </c>
      <c r="S50" s="229">
        <v>0</v>
      </c>
      <c r="T50" s="229">
        <v>0</v>
      </c>
      <c r="U50" s="230">
        <v>0</v>
      </c>
      <c r="V50" s="229">
        <v>0</v>
      </c>
      <c r="W50" s="229">
        <v>0</v>
      </c>
      <c r="X50" s="229">
        <v>0</v>
      </c>
      <c r="Y50" s="230">
        <v>0</v>
      </c>
      <c r="Z50" s="229">
        <v>0</v>
      </c>
      <c r="AA50" s="231">
        <v>-270</v>
      </c>
      <c r="AB50" s="231">
        <v>-30</v>
      </c>
      <c r="AC50" s="232">
        <v>0</v>
      </c>
      <c r="AD50" s="231">
        <v>-42.7</v>
      </c>
      <c r="AE50" s="231">
        <v>-42.7</v>
      </c>
      <c r="AF50" s="231">
        <v>0</v>
      </c>
      <c r="AG50" s="232">
        <v>0</v>
      </c>
      <c r="AH50" s="231">
        <v>-12.4</v>
      </c>
      <c r="AI50" s="231">
        <v>0</v>
      </c>
      <c r="AJ50" s="231">
        <v>0</v>
      </c>
      <c r="AK50" s="232">
        <v>0</v>
      </c>
      <c r="AL50" s="231">
        <v>0</v>
      </c>
      <c r="AM50" s="231">
        <v>0</v>
      </c>
      <c r="AN50" s="231">
        <v>0</v>
      </c>
      <c r="AO50" s="232">
        <v>0</v>
      </c>
      <c r="AP50" s="507">
        <v>0</v>
      </c>
      <c r="AS50" s="232"/>
    </row>
    <row r="51" spans="1:45" s="25" customFormat="1" ht="20.149999999999999" customHeight="1">
      <c r="A51" s="438" t="s">
        <v>925</v>
      </c>
      <c r="B51" s="437" t="s">
        <v>75</v>
      </c>
      <c r="C51" s="230">
        <v>0</v>
      </c>
      <c r="D51" s="230">
        <v>0</v>
      </c>
      <c r="E51" s="230">
        <v>0</v>
      </c>
      <c r="F51" s="230">
        <v>0</v>
      </c>
      <c r="G51" s="229">
        <v>0</v>
      </c>
      <c r="H51" s="230">
        <v>0</v>
      </c>
      <c r="I51" s="229">
        <v>0</v>
      </c>
      <c r="J51" s="230">
        <v>0</v>
      </c>
      <c r="K51" s="228">
        <v>-0.35000000000000003</v>
      </c>
      <c r="L51" s="228">
        <v>-3.536</v>
      </c>
      <c r="M51" s="224">
        <v>-3.536</v>
      </c>
      <c r="N51" s="229">
        <v>0</v>
      </c>
      <c r="O51" s="229">
        <v>0</v>
      </c>
      <c r="P51" s="229">
        <v>0</v>
      </c>
      <c r="Q51" s="230">
        <v>0</v>
      </c>
      <c r="R51" s="229">
        <v>-1.1000000000000001</v>
      </c>
      <c r="S51" s="229">
        <v>-1.1000000000000001</v>
      </c>
      <c r="T51" s="229">
        <v>-1.1000000000000001</v>
      </c>
      <c r="U51" s="230">
        <v>-1.1000000000000001</v>
      </c>
      <c r="V51" s="229">
        <v>0</v>
      </c>
      <c r="W51" s="229">
        <v>0</v>
      </c>
      <c r="X51" s="229">
        <v>0</v>
      </c>
      <c r="Y51" s="230">
        <v>0</v>
      </c>
      <c r="Z51" s="229">
        <v>0</v>
      </c>
      <c r="AA51" s="231">
        <v>-5.8</v>
      </c>
      <c r="AB51" s="231">
        <v>-20.399999999999999</v>
      </c>
      <c r="AC51" s="232">
        <v>-23.1</v>
      </c>
      <c r="AD51" s="231">
        <v>-6</v>
      </c>
      <c r="AE51" s="231">
        <v>-8.9</v>
      </c>
      <c r="AF51" s="231">
        <v>-12.1</v>
      </c>
      <c r="AG51" s="232">
        <v>-16.100000000000001</v>
      </c>
      <c r="AH51" s="231">
        <v>-6.8</v>
      </c>
      <c r="AI51" s="231">
        <v>-9.5</v>
      </c>
      <c r="AJ51" s="231">
        <v>-10.5</v>
      </c>
      <c r="AK51" s="232">
        <v>-11.6</v>
      </c>
      <c r="AL51" s="231">
        <v>0</v>
      </c>
      <c r="AM51" s="231">
        <v>0</v>
      </c>
      <c r="AN51" s="231">
        <v>-28.6</v>
      </c>
      <c r="AO51" s="232">
        <v>-31.1</v>
      </c>
      <c r="AP51" s="507">
        <v>-11</v>
      </c>
      <c r="AS51" s="232"/>
    </row>
    <row r="52" spans="1:45" s="25" customFormat="1" ht="20.149999999999999" customHeight="1">
      <c r="A52" s="438" t="s">
        <v>926</v>
      </c>
      <c r="B52" s="437" t="s">
        <v>83</v>
      </c>
      <c r="C52" s="230">
        <v>0</v>
      </c>
      <c r="D52" s="230">
        <v>0</v>
      </c>
      <c r="E52" s="230">
        <v>0</v>
      </c>
      <c r="F52" s="230">
        <v>0</v>
      </c>
      <c r="G52" s="229">
        <v>0</v>
      </c>
      <c r="H52" s="230">
        <v>0</v>
      </c>
      <c r="I52" s="229">
        <v>0</v>
      </c>
      <c r="J52" s="230">
        <v>0</v>
      </c>
      <c r="K52" s="229">
        <v>0</v>
      </c>
      <c r="L52" s="229">
        <v>0</v>
      </c>
      <c r="M52" s="224">
        <v>3.536</v>
      </c>
      <c r="N52" s="229">
        <v>0</v>
      </c>
      <c r="O52" s="229">
        <v>0</v>
      </c>
      <c r="P52" s="229">
        <v>0</v>
      </c>
      <c r="Q52" s="230">
        <v>0</v>
      </c>
      <c r="R52" s="229">
        <v>0</v>
      </c>
      <c r="S52" s="229">
        <v>1.1000000000000001</v>
      </c>
      <c r="T52" s="229">
        <v>1.1000000000000001</v>
      </c>
      <c r="U52" s="230">
        <v>1.1000000000000001</v>
      </c>
      <c r="V52" s="229">
        <v>0</v>
      </c>
      <c r="W52" s="229">
        <v>0</v>
      </c>
      <c r="X52" s="229">
        <v>0</v>
      </c>
      <c r="Y52" s="230">
        <v>0</v>
      </c>
      <c r="Z52" s="229">
        <v>0</v>
      </c>
      <c r="AA52" s="231">
        <v>0</v>
      </c>
      <c r="AB52" s="231">
        <v>0</v>
      </c>
      <c r="AC52" s="232">
        <v>0</v>
      </c>
      <c r="AD52" s="231">
        <v>0</v>
      </c>
      <c r="AE52" s="231">
        <v>0</v>
      </c>
      <c r="AF52" s="231">
        <v>0</v>
      </c>
      <c r="AG52" s="232">
        <v>0</v>
      </c>
      <c r="AH52" s="231">
        <v>0</v>
      </c>
      <c r="AI52" s="231">
        <v>0</v>
      </c>
      <c r="AJ52" s="231">
        <v>0</v>
      </c>
      <c r="AK52" s="232">
        <v>0.1</v>
      </c>
      <c r="AL52" s="231">
        <v>0</v>
      </c>
      <c r="AM52" s="231">
        <v>0</v>
      </c>
      <c r="AN52" s="231">
        <v>25</v>
      </c>
      <c r="AO52" s="232">
        <v>30.5</v>
      </c>
      <c r="AP52" s="507">
        <v>0</v>
      </c>
      <c r="AS52" s="232"/>
    </row>
    <row r="53" spans="1:45" s="25" customFormat="1" ht="20.149999999999999" customHeight="1">
      <c r="A53" s="438" t="s">
        <v>927</v>
      </c>
      <c r="B53" s="437" t="s">
        <v>130</v>
      </c>
      <c r="C53" s="230">
        <v>0</v>
      </c>
      <c r="D53" s="230">
        <v>0</v>
      </c>
      <c r="E53" s="230">
        <v>0</v>
      </c>
      <c r="F53" s="230">
        <v>0</v>
      </c>
      <c r="G53" s="229">
        <v>0</v>
      </c>
      <c r="H53" s="230">
        <v>0</v>
      </c>
      <c r="I53" s="229">
        <v>0</v>
      </c>
      <c r="J53" s="230">
        <v>0</v>
      </c>
      <c r="K53" s="229">
        <v>0</v>
      </c>
      <c r="L53" s="229">
        <v>0</v>
      </c>
      <c r="M53" s="224">
        <v>5.8000000000000003E-2</v>
      </c>
      <c r="N53" s="229">
        <v>1E-3</v>
      </c>
      <c r="O53" s="229">
        <v>1E-3</v>
      </c>
      <c r="P53" s="229">
        <v>1E-3</v>
      </c>
      <c r="Q53" s="230">
        <v>1E-3</v>
      </c>
      <c r="R53" s="229">
        <v>0</v>
      </c>
      <c r="S53" s="229">
        <v>0</v>
      </c>
      <c r="T53" s="229">
        <v>0</v>
      </c>
      <c r="U53" s="230">
        <v>0</v>
      </c>
      <c r="V53" s="229">
        <v>0</v>
      </c>
      <c r="W53" s="229">
        <v>0</v>
      </c>
      <c r="X53" s="229">
        <v>0</v>
      </c>
      <c r="Y53" s="230">
        <v>0</v>
      </c>
      <c r="Z53" s="229">
        <v>0</v>
      </c>
      <c r="AA53" s="231">
        <v>0</v>
      </c>
      <c r="AB53" s="231">
        <v>0</v>
      </c>
      <c r="AC53" s="232">
        <v>0</v>
      </c>
      <c r="AD53" s="231">
        <v>0</v>
      </c>
      <c r="AE53" s="231">
        <v>0</v>
      </c>
      <c r="AF53" s="231">
        <v>0</v>
      </c>
      <c r="AG53" s="232">
        <v>0</v>
      </c>
      <c r="AH53" s="231">
        <v>0</v>
      </c>
      <c r="AI53" s="231">
        <v>0</v>
      </c>
      <c r="AJ53" s="231">
        <v>0</v>
      </c>
      <c r="AK53" s="232">
        <v>0</v>
      </c>
      <c r="AL53" s="231">
        <v>0</v>
      </c>
      <c r="AM53" s="231">
        <v>0</v>
      </c>
      <c r="AN53" s="231"/>
      <c r="AO53" s="232"/>
      <c r="AP53" s="507">
        <v>0</v>
      </c>
      <c r="AS53" s="232"/>
    </row>
    <row r="54" spans="1:45" s="25" customFormat="1" ht="20.149999999999999" customHeight="1">
      <c r="A54" s="438" t="s">
        <v>928</v>
      </c>
      <c r="B54" s="437" t="s">
        <v>177</v>
      </c>
      <c r="C54" s="230"/>
      <c r="D54" s="230"/>
      <c r="E54" s="230"/>
      <c r="F54" s="230">
        <v>0</v>
      </c>
      <c r="G54" s="229">
        <v>0</v>
      </c>
      <c r="H54" s="230">
        <v>0</v>
      </c>
      <c r="I54" s="229">
        <v>0</v>
      </c>
      <c r="J54" s="230">
        <v>0</v>
      </c>
      <c r="K54" s="229">
        <v>0</v>
      </c>
      <c r="L54" s="229">
        <v>0</v>
      </c>
      <c r="M54" s="224">
        <v>0</v>
      </c>
      <c r="N54" s="229">
        <v>0</v>
      </c>
      <c r="O54" s="229">
        <v>0</v>
      </c>
      <c r="P54" s="229">
        <v>0</v>
      </c>
      <c r="Q54" s="230">
        <v>0</v>
      </c>
      <c r="R54" s="229">
        <v>0</v>
      </c>
      <c r="S54" s="229">
        <v>0</v>
      </c>
      <c r="T54" s="229">
        <v>0</v>
      </c>
      <c r="U54" s="230">
        <v>0</v>
      </c>
      <c r="V54" s="229">
        <v>0</v>
      </c>
      <c r="W54" s="229">
        <v>0</v>
      </c>
      <c r="X54" s="229">
        <v>0</v>
      </c>
      <c r="Y54" s="230">
        <v>0</v>
      </c>
      <c r="Z54" s="229">
        <v>0</v>
      </c>
      <c r="AA54" s="231">
        <v>5</v>
      </c>
      <c r="AB54" s="231">
        <v>5.5</v>
      </c>
      <c r="AC54" s="232">
        <v>6.6</v>
      </c>
      <c r="AD54" s="231">
        <v>1.2</v>
      </c>
      <c r="AE54" s="231">
        <v>-2.1</v>
      </c>
      <c r="AF54" s="231">
        <v>3.2</v>
      </c>
      <c r="AG54" s="232">
        <v>3.9</v>
      </c>
      <c r="AH54" s="231">
        <v>-5</v>
      </c>
      <c r="AI54" s="231">
        <v>-4</v>
      </c>
      <c r="AJ54" s="231">
        <v>-3.5</v>
      </c>
      <c r="AK54" s="232">
        <v>-1.6</v>
      </c>
      <c r="AL54" s="231">
        <v>-1.1000000000000001</v>
      </c>
      <c r="AM54" s="231">
        <v>0</v>
      </c>
      <c r="AN54" s="439" t="s">
        <v>200</v>
      </c>
      <c r="AO54" s="247" t="s">
        <v>200</v>
      </c>
      <c r="AP54" s="507">
        <v>-1.5</v>
      </c>
      <c r="AS54" s="232"/>
    </row>
    <row r="55" spans="1:45" s="25" customFormat="1" ht="20.149999999999999" customHeight="1">
      <c r="A55" s="438" t="s">
        <v>929</v>
      </c>
      <c r="B55" s="437" t="s">
        <v>160</v>
      </c>
      <c r="C55" s="230">
        <v>0</v>
      </c>
      <c r="D55" s="230">
        <v>0</v>
      </c>
      <c r="E55" s="230">
        <v>0</v>
      </c>
      <c r="F55" s="230">
        <v>0</v>
      </c>
      <c r="G55" s="229">
        <v>0</v>
      </c>
      <c r="H55" s="230">
        <v>0</v>
      </c>
      <c r="I55" s="229">
        <v>0</v>
      </c>
      <c r="J55" s="230">
        <v>0</v>
      </c>
      <c r="K55" s="229">
        <v>0</v>
      </c>
      <c r="L55" s="229">
        <v>0</v>
      </c>
      <c r="M55" s="230">
        <v>0</v>
      </c>
      <c r="N55" s="229">
        <v>0</v>
      </c>
      <c r="O55" s="229">
        <v>0</v>
      </c>
      <c r="P55" s="229">
        <v>1.36</v>
      </c>
      <c r="Q55" s="230">
        <v>1.3049999999999999</v>
      </c>
      <c r="R55" s="229">
        <v>0</v>
      </c>
      <c r="S55" s="229">
        <v>1.258</v>
      </c>
      <c r="T55" s="229">
        <v>1.258</v>
      </c>
      <c r="U55" s="230">
        <v>2.706</v>
      </c>
      <c r="V55" s="229">
        <v>0</v>
      </c>
      <c r="W55" s="229">
        <v>2.5150000000000001</v>
      </c>
      <c r="X55" s="229">
        <v>2.5150000000000001</v>
      </c>
      <c r="Y55" s="230">
        <v>2.5150000000000001</v>
      </c>
      <c r="Z55" s="229">
        <v>2.5300000000000002</v>
      </c>
      <c r="AA55" s="231">
        <v>2.5</v>
      </c>
      <c r="AB55" s="231">
        <v>2.5</v>
      </c>
      <c r="AC55" s="232">
        <v>2.5</v>
      </c>
      <c r="AD55" s="231">
        <v>0</v>
      </c>
      <c r="AE55" s="231">
        <v>0</v>
      </c>
      <c r="AF55" s="231">
        <v>0</v>
      </c>
      <c r="AG55" s="232">
        <v>0</v>
      </c>
      <c r="AH55" s="231">
        <v>0</v>
      </c>
      <c r="AI55" s="231">
        <v>0</v>
      </c>
      <c r="AJ55" s="231">
        <v>0</v>
      </c>
      <c r="AK55" s="232">
        <v>0</v>
      </c>
      <c r="AL55" s="231">
        <v>0</v>
      </c>
      <c r="AM55" s="231">
        <v>0</v>
      </c>
      <c r="AN55" s="231">
        <v>0</v>
      </c>
      <c r="AO55" s="232">
        <v>0</v>
      </c>
      <c r="AP55" s="507">
        <v>0</v>
      </c>
      <c r="AS55" s="232"/>
    </row>
    <row r="56" spans="1:45" s="25" customFormat="1" ht="20.149999999999999" customHeight="1" thickBot="1">
      <c r="A56" s="438" t="s">
        <v>1028</v>
      </c>
      <c r="B56" s="437" t="s">
        <v>1030</v>
      </c>
      <c r="C56" s="230">
        <v>0</v>
      </c>
      <c r="D56" s="230">
        <v>0</v>
      </c>
      <c r="E56" s="230">
        <v>0</v>
      </c>
      <c r="F56" s="230">
        <v>0</v>
      </c>
      <c r="G56" s="229">
        <v>0</v>
      </c>
      <c r="H56" s="230">
        <v>0</v>
      </c>
      <c r="I56" s="229">
        <v>0</v>
      </c>
      <c r="J56" s="230">
        <v>0</v>
      </c>
      <c r="K56" s="229">
        <v>0</v>
      </c>
      <c r="L56" s="229">
        <v>0</v>
      </c>
      <c r="M56" s="230">
        <v>0</v>
      </c>
      <c r="N56" s="229">
        <v>0</v>
      </c>
      <c r="O56" s="229">
        <v>0</v>
      </c>
      <c r="P56" s="229">
        <v>0</v>
      </c>
      <c r="Q56" s="230">
        <v>0</v>
      </c>
      <c r="R56" s="229">
        <v>0</v>
      </c>
      <c r="S56" s="229">
        <v>0</v>
      </c>
      <c r="T56" s="229">
        <v>0</v>
      </c>
      <c r="U56" s="230">
        <v>0</v>
      </c>
      <c r="V56" s="229">
        <v>0</v>
      </c>
      <c r="W56" s="229">
        <v>0</v>
      </c>
      <c r="X56" s="229">
        <v>0</v>
      </c>
      <c r="Y56" s="230">
        <v>0</v>
      </c>
      <c r="Z56" s="229">
        <v>0</v>
      </c>
      <c r="AA56" s="231">
        <v>0</v>
      </c>
      <c r="AB56" s="231">
        <v>0</v>
      </c>
      <c r="AC56" s="232">
        <v>0</v>
      </c>
      <c r="AD56" s="231">
        <v>0</v>
      </c>
      <c r="AE56" s="231">
        <v>0</v>
      </c>
      <c r="AF56" s="231">
        <v>0</v>
      </c>
      <c r="AG56" s="232">
        <v>0</v>
      </c>
      <c r="AH56" s="231">
        <v>0</v>
      </c>
      <c r="AI56" s="231">
        <v>1</v>
      </c>
      <c r="AJ56" s="231">
        <v>1</v>
      </c>
      <c r="AK56" s="232">
        <v>3.5</v>
      </c>
      <c r="AL56" s="231">
        <v>1.2</v>
      </c>
      <c r="AM56" s="231">
        <v>-0.5</v>
      </c>
      <c r="AN56" s="231">
        <v>5.9</v>
      </c>
      <c r="AO56" s="232">
        <v>6.4</v>
      </c>
      <c r="AP56" s="507">
        <v>1.1000000000000001</v>
      </c>
      <c r="AS56" s="232"/>
    </row>
    <row r="57" spans="1:45" s="25" customFormat="1" ht="20.149999999999999" customHeight="1" thickBot="1">
      <c r="A57" s="399" t="s">
        <v>930</v>
      </c>
      <c r="B57" s="399" t="s">
        <v>137</v>
      </c>
      <c r="C57" s="445">
        <f t="shared" ref="C57:AM57" si="5">SUM(C37:C56)</f>
        <v>-29.332999999999998</v>
      </c>
      <c r="D57" s="445">
        <f t="shared" si="5"/>
        <v>-1.6229999999999993</v>
      </c>
      <c r="E57" s="445">
        <f t="shared" si="5"/>
        <v>-38.763999999999989</v>
      </c>
      <c r="F57" s="445">
        <f t="shared" si="5"/>
        <v>-54.358000000000004</v>
      </c>
      <c r="G57" s="446">
        <f t="shared" si="5"/>
        <v>-28.853999999999999</v>
      </c>
      <c r="H57" s="445">
        <f t="shared" si="5"/>
        <v>-55.495000000000005</v>
      </c>
      <c r="I57" s="446">
        <f t="shared" si="5"/>
        <v>-16.022000000000002</v>
      </c>
      <c r="J57" s="445">
        <f t="shared" si="5"/>
        <v>-61.483000000000004</v>
      </c>
      <c r="K57" s="446">
        <f t="shared" si="5"/>
        <v>-55.653999999999996</v>
      </c>
      <c r="L57" s="446">
        <f t="shared" si="5"/>
        <v>-74.115000000000009</v>
      </c>
      <c r="M57" s="445">
        <f t="shared" si="5"/>
        <v>-77.418999999999997</v>
      </c>
      <c r="N57" s="447">
        <f t="shared" si="5"/>
        <v>-11.597000000000001</v>
      </c>
      <c r="O57" s="447">
        <f t="shared" si="5"/>
        <v>-2357.0949999999998</v>
      </c>
      <c r="P57" s="447">
        <f t="shared" si="5"/>
        <v>-2376.8019999999997</v>
      </c>
      <c r="Q57" s="448">
        <f t="shared" si="5"/>
        <v>-2426.7510000000002</v>
      </c>
      <c r="R57" s="447">
        <f t="shared" si="5"/>
        <v>-24.143000000000004</v>
      </c>
      <c r="S57" s="447">
        <f t="shared" si="5"/>
        <v>-83.230000000000018</v>
      </c>
      <c r="T57" s="447">
        <f t="shared" si="5"/>
        <v>-107.08400000000002</v>
      </c>
      <c r="U57" s="448">
        <f t="shared" si="5"/>
        <v>-133.43099999999998</v>
      </c>
      <c r="V57" s="447">
        <f t="shared" si="5"/>
        <v>-34.882999999999996</v>
      </c>
      <c r="W57" s="447">
        <f t="shared" si="5"/>
        <v>-58.354000000000006</v>
      </c>
      <c r="X57" s="447">
        <f t="shared" si="5"/>
        <v>-110.15100000000002</v>
      </c>
      <c r="Y57" s="448">
        <f t="shared" si="5"/>
        <v>-133.83700000000002</v>
      </c>
      <c r="Z57" s="447">
        <f t="shared" si="5"/>
        <v>-36.552999999999997</v>
      </c>
      <c r="AA57" s="284">
        <f t="shared" si="5"/>
        <v>1394.1000000000001</v>
      </c>
      <c r="AB57" s="284">
        <f t="shared" si="5"/>
        <v>1042.3</v>
      </c>
      <c r="AC57" s="283">
        <f t="shared" si="5"/>
        <v>972.80000000000007</v>
      </c>
      <c r="AD57" s="284">
        <f t="shared" si="5"/>
        <v>-208.2</v>
      </c>
      <c r="AE57" s="284">
        <f t="shared" si="5"/>
        <v>-347.59999999999997</v>
      </c>
      <c r="AF57" s="284">
        <f t="shared" si="5"/>
        <v>-576.29999999999995</v>
      </c>
      <c r="AG57" s="283">
        <f t="shared" si="5"/>
        <v>-726.60000000000014</v>
      </c>
      <c r="AH57" s="284">
        <f t="shared" si="5"/>
        <v>-24.899999999999988</v>
      </c>
      <c r="AI57" s="284">
        <f t="shared" si="5"/>
        <v>-541.09999999999991</v>
      </c>
      <c r="AJ57" s="284">
        <f t="shared" si="5"/>
        <v>-815.19999999999993</v>
      </c>
      <c r="AK57" s="283">
        <f t="shared" si="5"/>
        <v>-1003.4</v>
      </c>
      <c r="AL57" s="284">
        <f t="shared" si="5"/>
        <v>-159.20000000000002</v>
      </c>
      <c r="AM57" s="284">
        <f t="shared" si="5"/>
        <v>-367.5</v>
      </c>
      <c r="AN57" s="284">
        <f t="shared" ref="AN57:AO57" si="6">SUM(AN37:AN56)</f>
        <v>-657.20000000000016</v>
      </c>
      <c r="AO57" s="283">
        <f t="shared" si="6"/>
        <v>-1573.2999999999997</v>
      </c>
      <c r="AP57" s="548">
        <f>SUM(AP37:AP56)</f>
        <v>-255.4</v>
      </c>
      <c r="AQ57" s="284"/>
      <c r="AR57" s="284"/>
      <c r="AS57" s="283"/>
    </row>
    <row r="58" spans="1:45" s="25" customFormat="1" ht="20.149999999999999" customHeight="1">
      <c r="A58" s="438" t="s">
        <v>931</v>
      </c>
      <c r="B58" s="437" t="s">
        <v>60</v>
      </c>
      <c r="C58" s="224"/>
      <c r="D58" s="224">
        <v>10</v>
      </c>
      <c r="E58" s="230">
        <v>0</v>
      </c>
      <c r="F58" s="224">
        <v>0.23300000000000001</v>
      </c>
      <c r="G58" s="229">
        <v>0</v>
      </c>
      <c r="H58" s="230">
        <v>0</v>
      </c>
      <c r="I58" s="229">
        <v>0</v>
      </c>
      <c r="J58" s="230">
        <v>0</v>
      </c>
      <c r="K58" s="229">
        <v>0</v>
      </c>
      <c r="L58" s="229">
        <v>0</v>
      </c>
      <c r="M58" s="230">
        <v>0</v>
      </c>
      <c r="N58" s="229">
        <v>0</v>
      </c>
      <c r="O58" s="229">
        <v>0</v>
      </c>
      <c r="P58" s="229">
        <v>0</v>
      </c>
      <c r="Q58" s="230">
        <v>0</v>
      </c>
      <c r="R58" s="229">
        <v>0</v>
      </c>
      <c r="S58" s="229">
        <v>0</v>
      </c>
      <c r="T58" s="229">
        <v>0</v>
      </c>
      <c r="U58" s="230">
        <v>0</v>
      </c>
      <c r="V58" s="229">
        <v>0</v>
      </c>
      <c r="W58" s="229">
        <v>0</v>
      </c>
      <c r="X58" s="229">
        <v>0</v>
      </c>
      <c r="Y58" s="230">
        <v>0</v>
      </c>
      <c r="Z58" s="229">
        <v>0</v>
      </c>
      <c r="AA58" s="231">
        <v>0</v>
      </c>
      <c r="AB58" s="231">
        <v>0</v>
      </c>
      <c r="AC58" s="232">
        <v>0</v>
      </c>
      <c r="AD58" s="231">
        <v>0</v>
      </c>
      <c r="AE58" s="231">
        <v>0</v>
      </c>
      <c r="AF58" s="231">
        <v>0</v>
      </c>
      <c r="AG58" s="232">
        <v>0</v>
      </c>
      <c r="AH58" s="231">
        <v>0</v>
      </c>
      <c r="AI58" s="231">
        <v>0</v>
      </c>
      <c r="AJ58" s="231">
        <v>0</v>
      </c>
      <c r="AK58" s="232">
        <v>0</v>
      </c>
      <c r="AL58" s="231">
        <v>0</v>
      </c>
      <c r="AM58" s="231">
        <v>0</v>
      </c>
      <c r="AN58" s="231">
        <v>0</v>
      </c>
      <c r="AO58" s="232">
        <v>0</v>
      </c>
      <c r="AP58" s="507">
        <v>0</v>
      </c>
      <c r="AS58" s="232"/>
    </row>
    <row r="59" spans="1:45" s="25" customFormat="1" ht="20.149999999999999" customHeight="1">
      <c r="A59" s="438" t="s">
        <v>932</v>
      </c>
      <c r="B59" s="437" t="s">
        <v>61</v>
      </c>
      <c r="C59" s="230">
        <v>0</v>
      </c>
      <c r="D59" s="230">
        <v>0</v>
      </c>
      <c r="E59" s="230">
        <v>0</v>
      </c>
      <c r="F59" s="230">
        <v>0</v>
      </c>
      <c r="G59" s="229">
        <v>0</v>
      </c>
      <c r="H59" s="225">
        <v>7.2229999999999999</v>
      </c>
      <c r="I59" s="229">
        <v>0</v>
      </c>
      <c r="J59" s="230">
        <v>0</v>
      </c>
      <c r="K59" s="229">
        <v>0</v>
      </c>
      <c r="L59" s="229">
        <v>0</v>
      </c>
      <c r="M59" s="230">
        <v>0</v>
      </c>
      <c r="N59" s="229">
        <v>0</v>
      </c>
      <c r="O59" s="229">
        <v>0</v>
      </c>
      <c r="P59" s="229">
        <v>0</v>
      </c>
      <c r="Q59" s="230">
        <v>0</v>
      </c>
      <c r="R59" s="229">
        <v>0</v>
      </c>
      <c r="S59" s="229">
        <v>0</v>
      </c>
      <c r="T59" s="229">
        <v>0</v>
      </c>
      <c r="U59" s="230">
        <v>0</v>
      </c>
      <c r="V59" s="229">
        <v>0</v>
      </c>
      <c r="W59" s="229">
        <v>0</v>
      </c>
      <c r="X59" s="229">
        <v>0</v>
      </c>
      <c r="Y59" s="230">
        <v>0</v>
      </c>
      <c r="Z59" s="229">
        <v>0</v>
      </c>
      <c r="AA59" s="231">
        <v>0</v>
      </c>
      <c r="AB59" s="231">
        <v>0</v>
      </c>
      <c r="AC59" s="232">
        <v>0</v>
      </c>
      <c r="AD59" s="231">
        <v>0</v>
      </c>
      <c r="AE59" s="231">
        <v>0</v>
      </c>
      <c r="AF59" s="231">
        <v>0</v>
      </c>
      <c r="AG59" s="232">
        <v>0</v>
      </c>
      <c r="AH59" s="231">
        <v>0</v>
      </c>
      <c r="AI59" s="231">
        <v>0</v>
      </c>
      <c r="AJ59" s="231">
        <v>0</v>
      </c>
      <c r="AK59" s="232">
        <v>0</v>
      </c>
      <c r="AL59" s="231">
        <v>0</v>
      </c>
      <c r="AM59" s="231">
        <v>0</v>
      </c>
      <c r="AN59" s="231">
        <v>0</v>
      </c>
      <c r="AO59" s="232">
        <v>0</v>
      </c>
      <c r="AP59" s="507">
        <v>0</v>
      </c>
      <c r="AS59" s="232"/>
    </row>
    <row r="60" spans="1:45" s="25" customFormat="1" ht="20.149999999999999" customHeight="1">
      <c r="A60" s="438" t="s">
        <v>933</v>
      </c>
      <c r="B60" s="437" t="s">
        <v>742</v>
      </c>
      <c r="C60" s="230">
        <v>0</v>
      </c>
      <c r="D60" s="224">
        <v>1.8</v>
      </c>
      <c r="E60" s="224">
        <v>65.683999999999997</v>
      </c>
      <c r="F60" s="225">
        <v>191.83</v>
      </c>
      <c r="G60" s="229">
        <v>0</v>
      </c>
      <c r="H60" s="230">
        <v>0</v>
      </c>
      <c r="I60" s="229">
        <v>0</v>
      </c>
      <c r="J60" s="230">
        <v>0</v>
      </c>
      <c r="K60" s="228">
        <v>4.2919999999999998</v>
      </c>
      <c r="L60" s="229">
        <v>0</v>
      </c>
      <c r="M60" s="230">
        <v>0</v>
      </c>
      <c r="N60" s="229">
        <v>0</v>
      </c>
      <c r="O60" s="228">
        <v>2800</v>
      </c>
      <c r="P60" s="228">
        <v>2800</v>
      </c>
      <c r="Q60" s="224">
        <v>2800</v>
      </c>
      <c r="R60" s="229">
        <v>0</v>
      </c>
      <c r="S60" s="229">
        <v>0</v>
      </c>
      <c r="T60" s="229">
        <v>0</v>
      </c>
      <c r="U60" s="230">
        <v>0</v>
      </c>
      <c r="V60" s="229">
        <v>0</v>
      </c>
      <c r="W60" s="229">
        <v>0</v>
      </c>
      <c r="X60" s="229">
        <v>0</v>
      </c>
      <c r="Y60" s="230">
        <v>0</v>
      </c>
      <c r="Z60" s="229">
        <v>0</v>
      </c>
      <c r="AA60" s="231">
        <v>2800</v>
      </c>
      <c r="AB60" s="231">
        <v>2800</v>
      </c>
      <c r="AC60" s="232">
        <v>2800</v>
      </c>
      <c r="AD60" s="231">
        <v>50</v>
      </c>
      <c r="AE60" s="231">
        <v>120</v>
      </c>
      <c r="AF60" s="231">
        <v>6820</v>
      </c>
      <c r="AG60" s="232">
        <v>6820</v>
      </c>
      <c r="AH60" s="231">
        <v>5500</v>
      </c>
      <c r="AI60" s="231">
        <v>5500</v>
      </c>
      <c r="AJ60" s="231">
        <v>5500</v>
      </c>
      <c r="AK60" s="232">
        <v>5500</v>
      </c>
      <c r="AL60" s="231">
        <v>0</v>
      </c>
      <c r="AM60" s="231">
        <v>600</v>
      </c>
      <c r="AN60" s="231">
        <v>600</v>
      </c>
      <c r="AO60" s="232">
        <v>1200</v>
      </c>
      <c r="AP60" s="507">
        <v>0</v>
      </c>
      <c r="AS60" s="232"/>
    </row>
    <row r="61" spans="1:45" s="25" customFormat="1" ht="20.149999999999999" customHeight="1">
      <c r="A61" s="438" t="s">
        <v>934</v>
      </c>
      <c r="B61" s="437" t="s">
        <v>781</v>
      </c>
      <c r="C61" s="224"/>
      <c r="D61" s="224"/>
      <c r="E61" s="224"/>
      <c r="F61" s="230">
        <v>0</v>
      </c>
      <c r="G61" s="229">
        <v>0</v>
      </c>
      <c r="H61" s="230">
        <v>0</v>
      </c>
      <c r="I61" s="229">
        <v>0</v>
      </c>
      <c r="J61" s="230">
        <v>0</v>
      </c>
      <c r="K61" s="229">
        <v>0</v>
      </c>
      <c r="L61" s="229">
        <v>0</v>
      </c>
      <c r="M61" s="230">
        <v>0</v>
      </c>
      <c r="N61" s="229">
        <v>0</v>
      </c>
      <c r="O61" s="228">
        <v>1372.2450000000001</v>
      </c>
      <c r="P61" s="228">
        <v>1372.2450000000001</v>
      </c>
      <c r="Q61" s="224">
        <v>1372.2450000000001</v>
      </c>
      <c r="R61" s="229">
        <v>0</v>
      </c>
      <c r="S61" s="229">
        <v>0</v>
      </c>
      <c r="T61" s="229">
        <v>0</v>
      </c>
      <c r="U61" s="230">
        <v>0</v>
      </c>
      <c r="V61" s="229">
        <v>0</v>
      </c>
      <c r="W61" s="229">
        <v>0</v>
      </c>
      <c r="X61" s="229">
        <v>0</v>
      </c>
      <c r="Y61" s="230">
        <v>0</v>
      </c>
      <c r="Z61" s="229">
        <v>0</v>
      </c>
      <c r="AA61" s="231">
        <v>-2275.9</v>
      </c>
      <c r="AB61" s="231">
        <v>-2275.9</v>
      </c>
      <c r="AC61" s="232">
        <v>-2275.9</v>
      </c>
      <c r="AD61" s="231">
        <v>0</v>
      </c>
      <c r="AE61" s="231">
        <v>0</v>
      </c>
      <c r="AF61" s="231">
        <v>1000</v>
      </c>
      <c r="AG61" s="232">
        <v>1000</v>
      </c>
      <c r="AH61" s="231">
        <v>-4483.8</v>
      </c>
      <c r="AI61" s="231">
        <v>-4483.8</v>
      </c>
      <c r="AJ61" s="231">
        <v>-4483.8</v>
      </c>
      <c r="AK61" s="232">
        <v>-4484</v>
      </c>
      <c r="AL61" s="231">
        <v>0</v>
      </c>
      <c r="AM61" s="231">
        <v>-886.7</v>
      </c>
      <c r="AN61" s="231">
        <v>-886.7</v>
      </c>
      <c r="AO61" s="232">
        <v>-886.7</v>
      </c>
      <c r="AP61" s="507">
        <v>0</v>
      </c>
      <c r="AS61" s="232"/>
    </row>
    <row r="62" spans="1:45" s="25" customFormat="1" ht="20.149999999999999" customHeight="1">
      <c r="A62" s="438" t="s">
        <v>935</v>
      </c>
      <c r="B62" s="437" t="s">
        <v>67</v>
      </c>
      <c r="C62" s="230">
        <v>0</v>
      </c>
      <c r="D62" s="230">
        <v>0</v>
      </c>
      <c r="E62" s="224">
        <v>-49.012</v>
      </c>
      <c r="F62" s="225">
        <v>-193.23500000000001</v>
      </c>
      <c r="G62" s="226">
        <v>-50.904000000000003</v>
      </c>
      <c r="H62" s="225">
        <v>-107.928</v>
      </c>
      <c r="I62" s="226">
        <v>-31.518000000000001</v>
      </c>
      <c r="J62" s="227">
        <v>-63.035000000000004</v>
      </c>
      <c r="K62" s="228">
        <v>-31.518000000000001</v>
      </c>
      <c r="L62" s="228">
        <v>-47.277000000000001</v>
      </c>
      <c r="M62" s="224">
        <v>-47.277000000000001</v>
      </c>
      <c r="N62" s="229">
        <v>0</v>
      </c>
      <c r="O62" s="228">
        <v>-1449.5940000000001</v>
      </c>
      <c r="P62" s="228">
        <v>-1491.2440000000001</v>
      </c>
      <c r="Q62" s="224">
        <v>-1538.8440000000001</v>
      </c>
      <c r="R62" s="229">
        <v>-26.754999999999999</v>
      </c>
      <c r="S62" s="229">
        <v>-155.76300000000001</v>
      </c>
      <c r="T62" s="229">
        <v>-397.57499999999999</v>
      </c>
      <c r="U62" s="230">
        <v>-453.32400000000001</v>
      </c>
      <c r="V62" s="229">
        <v>-49.813000000000002</v>
      </c>
      <c r="W62" s="229">
        <v>-192.59</v>
      </c>
      <c r="X62" s="229">
        <v>-366.16200000000003</v>
      </c>
      <c r="Y62" s="230">
        <v>-431.11700000000002</v>
      </c>
      <c r="Z62" s="229">
        <v>-37.393999999999998</v>
      </c>
      <c r="AA62" s="231">
        <v>-547.1</v>
      </c>
      <c r="AB62" s="231">
        <v>-747.1</v>
      </c>
      <c r="AC62" s="232">
        <v>-1087.0999999999999</v>
      </c>
      <c r="AD62" s="231">
        <v>-157</v>
      </c>
      <c r="AE62" s="231">
        <v>-954.2</v>
      </c>
      <c r="AF62" s="231">
        <v>-9222.2000000000007</v>
      </c>
      <c r="AG62" s="232">
        <v>-9222.2000000000007</v>
      </c>
      <c r="AH62" s="231">
        <v>-916.1</v>
      </c>
      <c r="AI62" s="231">
        <v>-1498.9</v>
      </c>
      <c r="AJ62" s="231">
        <v>-1706.9</v>
      </c>
      <c r="AK62" s="232">
        <v>-1940.9</v>
      </c>
      <c r="AL62" s="231">
        <v>-234</v>
      </c>
      <c r="AM62" s="231">
        <v>-568</v>
      </c>
      <c r="AN62" s="231">
        <v>-802</v>
      </c>
      <c r="AO62" s="232">
        <v>-1162.5</v>
      </c>
      <c r="AP62" s="507">
        <v>-550</v>
      </c>
      <c r="AS62" s="232"/>
    </row>
    <row r="63" spans="1:45" s="25" customFormat="1" ht="20.149999999999999" customHeight="1">
      <c r="A63" s="438" t="s">
        <v>936</v>
      </c>
      <c r="B63" s="223" t="s">
        <v>780</v>
      </c>
      <c r="C63" s="224">
        <v>-16.931000000000001</v>
      </c>
      <c r="D63" s="224">
        <v>-18.808</v>
      </c>
      <c r="E63" s="224">
        <v>-13.196999999999999</v>
      </c>
      <c r="F63" s="225">
        <v>-11.68</v>
      </c>
      <c r="G63" s="226">
        <v>-8.1460000000000008</v>
      </c>
      <c r="H63" s="225">
        <v>-13.532999999999999</v>
      </c>
      <c r="I63" s="226">
        <v>-2.6960000000000002</v>
      </c>
      <c r="J63" s="227">
        <v>-4.2119999999999997</v>
      </c>
      <c r="K63" s="228">
        <v>-0.871</v>
      </c>
      <c r="L63" s="228">
        <v>-1.4590000000000001</v>
      </c>
      <c r="M63" s="224">
        <v>-2.198</v>
      </c>
      <c r="N63" s="229">
        <v>-1.052</v>
      </c>
      <c r="O63" s="229">
        <v>-166.23099999999999</v>
      </c>
      <c r="P63" s="229">
        <v>-197.869</v>
      </c>
      <c r="Q63" s="230">
        <v>-289.899</v>
      </c>
      <c r="R63" s="229">
        <v>-26.132999999999999</v>
      </c>
      <c r="S63" s="229">
        <f>(-103258-821)*0.001</f>
        <v>-104.07900000000001</v>
      </c>
      <c r="T63" s="229">
        <f>(-125824-2250)*0.001</f>
        <v>-128.07400000000001</v>
      </c>
      <c r="U63" s="230">
        <f>(-195934-3683)*0.001</f>
        <v>-199.61699999999999</v>
      </c>
      <c r="V63" s="229">
        <f>(-15811-1035)*0.001</f>
        <v>-16.846</v>
      </c>
      <c r="W63" s="229">
        <f>(-84439-1241)*0.001</f>
        <v>-85.68</v>
      </c>
      <c r="X63" s="229">
        <f>(-96215-1689)*0.001</f>
        <v>-97.903999999999996</v>
      </c>
      <c r="Y63" s="230">
        <v>-165.017</v>
      </c>
      <c r="Z63" s="229">
        <v>-9.0950000000000006</v>
      </c>
      <c r="AA63" s="231">
        <v>-348.3</v>
      </c>
      <c r="AB63" s="231">
        <v>-733.5</v>
      </c>
      <c r="AC63" s="232">
        <v>-872.2</v>
      </c>
      <c r="AD63" s="231">
        <v>-357.9</v>
      </c>
      <c r="AE63" s="231">
        <v>-472.3</v>
      </c>
      <c r="AF63" s="231">
        <v>-804.1</v>
      </c>
      <c r="AG63" s="232">
        <v>-978.9</v>
      </c>
      <c r="AH63" s="231">
        <v>-383.2</v>
      </c>
      <c r="AI63" s="231">
        <v>-507.9</v>
      </c>
      <c r="AJ63" s="231">
        <v>-631.70000000000005</v>
      </c>
      <c r="AK63" s="232">
        <v>-729.6</v>
      </c>
      <c r="AL63" s="231">
        <v>-112.5</v>
      </c>
      <c r="AM63" s="231">
        <v>-206</v>
      </c>
      <c r="AN63" s="231">
        <v>-319.60000000000002</v>
      </c>
      <c r="AO63" s="232">
        <v>-409.9</v>
      </c>
      <c r="AP63" s="507">
        <v>-138</v>
      </c>
      <c r="AS63" s="232"/>
    </row>
    <row r="64" spans="1:45" s="25" customFormat="1" ht="20.149999999999999" customHeight="1">
      <c r="A64" s="438" t="s">
        <v>937</v>
      </c>
      <c r="B64" s="437" t="s">
        <v>762</v>
      </c>
      <c r="C64" s="224"/>
      <c r="D64" s="224"/>
      <c r="E64" s="224"/>
      <c r="F64" s="224"/>
      <c r="G64" s="226"/>
      <c r="H64" s="225"/>
      <c r="I64" s="226"/>
      <c r="J64" s="227"/>
      <c r="K64" s="228"/>
      <c r="L64" s="228"/>
      <c r="M64" s="224"/>
      <c r="N64" s="229"/>
      <c r="O64" s="229"/>
      <c r="P64" s="229"/>
      <c r="Q64" s="230"/>
      <c r="R64" s="229"/>
      <c r="S64" s="229"/>
      <c r="T64" s="229"/>
      <c r="U64" s="230"/>
      <c r="V64" s="229"/>
      <c r="W64" s="229"/>
      <c r="X64" s="229"/>
      <c r="Y64" s="230"/>
      <c r="Z64" s="229"/>
      <c r="AA64" s="231"/>
      <c r="AB64" s="231"/>
      <c r="AC64" s="232"/>
      <c r="AD64" s="231"/>
      <c r="AE64" s="231"/>
      <c r="AF64" s="231"/>
      <c r="AG64" s="232"/>
      <c r="AH64" s="231">
        <v>-262.10000000000002</v>
      </c>
      <c r="AI64" s="231">
        <v>-262.10000000000002</v>
      </c>
      <c r="AJ64" s="231">
        <v>-262.10000000000002</v>
      </c>
      <c r="AK64" s="232">
        <v>-262.10000000000002</v>
      </c>
      <c r="AL64" s="231">
        <v>0</v>
      </c>
      <c r="AM64" s="231">
        <v>-58.7</v>
      </c>
      <c r="AN64" s="231">
        <v>-58.7</v>
      </c>
      <c r="AO64" s="232">
        <v>-58.7</v>
      </c>
      <c r="AP64" s="507">
        <v>0</v>
      </c>
      <c r="AS64" s="232"/>
    </row>
    <row r="65" spans="1:45" s="25" customFormat="1" ht="20.149999999999999" customHeight="1">
      <c r="A65" s="438" t="s">
        <v>938</v>
      </c>
      <c r="B65" s="437" t="s">
        <v>63</v>
      </c>
      <c r="C65" s="230">
        <v>0</v>
      </c>
      <c r="D65" s="230">
        <v>0</v>
      </c>
      <c r="E65" s="230">
        <v>0</v>
      </c>
      <c r="F65" s="230">
        <v>0</v>
      </c>
      <c r="G65" s="229">
        <v>0</v>
      </c>
      <c r="H65" s="225">
        <v>-37.564999999999998</v>
      </c>
      <c r="I65" s="226">
        <v>-131.125</v>
      </c>
      <c r="J65" s="227">
        <v>-201.244</v>
      </c>
      <c r="K65" s="229">
        <v>0</v>
      </c>
      <c r="L65" s="228">
        <v>-101.96300000000001</v>
      </c>
      <c r="M65" s="224">
        <v>-152.94499999999999</v>
      </c>
      <c r="N65" s="229">
        <v>0</v>
      </c>
      <c r="O65" s="229">
        <v>0</v>
      </c>
      <c r="P65" s="229">
        <v>0</v>
      </c>
      <c r="Q65" s="230">
        <v>0</v>
      </c>
      <c r="R65" s="229">
        <v>0</v>
      </c>
      <c r="S65" s="229">
        <v>0</v>
      </c>
      <c r="T65" s="229">
        <v>0</v>
      </c>
      <c r="U65" s="230">
        <v>0</v>
      </c>
      <c r="V65" s="229">
        <v>0</v>
      </c>
      <c r="W65" s="229">
        <v>0</v>
      </c>
      <c r="X65" s="229">
        <v>0</v>
      </c>
      <c r="Y65" s="230">
        <v>0</v>
      </c>
      <c r="Z65" s="229">
        <v>0</v>
      </c>
      <c r="AA65" s="231">
        <v>-102.9</v>
      </c>
      <c r="AB65" s="231">
        <v>-102.9</v>
      </c>
      <c r="AC65" s="232">
        <v>-102.9</v>
      </c>
      <c r="AD65" s="231">
        <v>0</v>
      </c>
      <c r="AE65" s="231">
        <v>0</v>
      </c>
      <c r="AF65" s="231">
        <v>0</v>
      </c>
      <c r="AG65" s="232">
        <v>0</v>
      </c>
      <c r="AH65" s="231">
        <v>0</v>
      </c>
      <c r="AI65" s="231">
        <v>0</v>
      </c>
      <c r="AJ65" s="231">
        <v>0</v>
      </c>
      <c r="AK65" s="232">
        <v>0</v>
      </c>
      <c r="AL65" s="231">
        <v>0</v>
      </c>
      <c r="AM65" s="231">
        <v>0</v>
      </c>
      <c r="AN65" s="231">
        <v>-204.7</v>
      </c>
      <c r="AO65" s="232">
        <v>-204.7</v>
      </c>
      <c r="AP65" s="549">
        <v>0</v>
      </c>
      <c r="AS65" s="232"/>
    </row>
    <row r="66" spans="1:45" s="25" customFormat="1" ht="20.149999999999999" customHeight="1">
      <c r="A66" s="441" t="s">
        <v>939</v>
      </c>
      <c r="B66" s="437" t="s">
        <v>81</v>
      </c>
      <c r="C66" s="230">
        <v>0</v>
      </c>
      <c r="D66" s="230">
        <v>0</v>
      </c>
      <c r="E66" s="230">
        <v>0</v>
      </c>
      <c r="F66" s="230">
        <v>0</v>
      </c>
      <c r="G66" s="229">
        <v>0</v>
      </c>
      <c r="H66" s="230">
        <v>0</v>
      </c>
      <c r="I66" s="229">
        <v>0</v>
      </c>
      <c r="J66" s="230">
        <v>0</v>
      </c>
      <c r="K66" s="229">
        <v>0</v>
      </c>
      <c r="L66" s="228">
        <v>71.540999999999997</v>
      </c>
      <c r="M66" s="224">
        <v>18.041</v>
      </c>
      <c r="N66" s="229">
        <v>146.607</v>
      </c>
      <c r="O66" s="229">
        <v>-18.041</v>
      </c>
      <c r="P66" s="229">
        <v>-18.041</v>
      </c>
      <c r="Q66" s="230">
        <v>-18.041</v>
      </c>
      <c r="R66" s="229">
        <v>0</v>
      </c>
      <c r="S66" s="229">
        <v>0</v>
      </c>
      <c r="T66" s="229">
        <v>0</v>
      </c>
      <c r="U66" s="230">
        <v>0</v>
      </c>
      <c r="V66" s="229">
        <v>0</v>
      </c>
      <c r="W66" s="229">
        <v>0</v>
      </c>
      <c r="X66" s="229">
        <v>0</v>
      </c>
      <c r="Y66" s="230">
        <v>0</v>
      </c>
      <c r="Z66" s="229">
        <v>0</v>
      </c>
      <c r="AA66" s="231">
        <v>0</v>
      </c>
      <c r="AB66" s="231">
        <v>0</v>
      </c>
      <c r="AC66" s="232">
        <v>0</v>
      </c>
      <c r="AD66" s="231">
        <v>0</v>
      </c>
      <c r="AE66" s="231">
        <v>0</v>
      </c>
      <c r="AF66" s="231">
        <v>0</v>
      </c>
      <c r="AG66" s="232">
        <v>0</v>
      </c>
      <c r="AH66" s="231">
        <v>0</v>
      </c>
      <c r="AI66" s="231">
        <v>0</v>
      </c>
      <c r="AJ66" s="231">
        <v>0</v>
      </c>
      <c r="AK66" s="232">
        <v>0</v>
      </c>
      <c r="AL66" s="231">
        <v>0</v>
      </c>
      <c r="AM66" s="231">
        <v>0</v>
      </c>
      <c r="AN66" s="231">
        <v>0</v>
      </c>
      <c r="AO66" s="232">
        <v>0</v>
      </c>
      <c r="AP66" s="549">
        <v>0</v>
      </c>
      <c r="AS66" s="232"/>
    </row>
    <row r="67" spans="1:45" s="25" customFormat="1" ht="20.149999999999999" customHeight="1">
      <c r="A67" s="441" t="s">
        <v>940</v>
      </c>
      <c r="B67" s="437" t="s">
        <v>80</v>
      </c>
      <c r="C67" s="230">
        <v>0</v>
      </c>
      <c r="D67" s="230">
        <v>0</v>
      </c>
      <c r="E67" s="230">
        <v>0</v>
      </c>
      <c r="F67" s="230">
        <v>0</v>
      </c>
      <c r="G67" s="229">
        <v>0</v>
      </c>
      <c r="H67" s="230">
        <v>0</v>
      </c>
      <c r="I67" s="229">
        <v>0</v>
      </c>
      <c r="J67" s="230">
        <v>0</v>
      </c>
      <c r="K67" s="229">
        <v>0</v>
      </c>
      <c r="L67" s="228">
        <v>-4.54</v>
      </c>
      <c r="M67" s="224">
        <v>-7.32</v>
      </c>
      <c r="N67" s="229">
        <v>0</v>
      </c>
      <c r="O67" s="229">
        <v>0</v>
      </c>
      <c r="P67" s="229">
        <v>0</v>
      </c>
      <c r="Q67" s="230">
        <v>0</v>
      </c>
      <c r="R67" s="229">
        <v>0</v>
      </c>
      <c r="S67" s="229">
        <v>0</v>
      </c>
      <c r="T67" s="229">
        <v>0</v>
      </c>
      <c r="U67" s="230">
        <v>0</v>
      </c>
      <c r="V67" s="229">
        <v>0</v>
      </c>
      <c r="W67" s="229">
        <v>0</v>
      </c>
      <c r="X67" s="229">
        <v>0</v>
      </c>
      <c r="Y67" s="230">
        <v>0</v>
      </c>
      <c r="Z67" s="229">
        <v>0</v>
      </c>
      <c r="AA67" s="231">
        <v>0</v>
      </c>
      <c r="AB67" s="231">
        <v>0</v>
      </c>
      <c r="AC67" s="232">
        <v>0</v>
      </c>
      <c r="AD67" s="231">
        <v>0</v>
      </c>
      <c r="AE67" s="231">
        <v>0</v>
      </c>
      <c r="AF67" s="231">
        <v>0</v>
      </c>
      <c r="AG67" s="232">
        <v>0</v>
      </c>
      <c r="AH67" s="231">
        <v>0</v>
      </c>
      <c r="AI67" s="231">
        <v>0</v>
      </c>
      <c r="AJ67" s="231">
        <v>0</v>
      </c>
      <c r="AK67" s="232">
        <v>0</v>
      </c>
      <c r="AL67" s="231">
        <v>0</v>
      </c>
      <c r="AM67" s="231">
        <v>0</v>
      </c>
      <c r="AN67" s="231">
        <v>0</v>
      </c>
      <c r="AO67" s="232">
        <v>0</v>
      </c>
      <c r="AP67" s="549">
        <v>0</v>
      </c>
      <c r="AS67" s="232"/>
    </row>
    <row r="68" spans="1:45" s="25" customFormat="1" ht="20.149999999999999" customHeight="1">
      <c r="A68" s="442" t="s">
        <v>941</v>
      </c>
      <c r="B68" s="437" t="s">
        <v>748</v>
      </c>
      <c r="C68" s="230">
        <v>0</v>
      </c>
      <c r="D68" s="230">
        <v>0</v>
      </c>
      <c r="E68" s="230">
        <v>0</v>
      </c>
      <c r="F68" s="230">
        <v>0</v>
      </c>
      <c r="G68" s="229">
        <v>0</v>
      </c>
      <c r="H68" s="230">
        <v>0</v>
      </c>
      <c r="I68" s="229">
        <v>0</v>
      </c>
      <c r="J68" s="230">
        <v>0</v>
      </c>
      <c r="K68" s="229">
        <v>0</v>
      </c>
      <c r="L68" s="228">
        <v>0.21299999999999999</v>
      </c>
      <c r="M68" s="224">
        <v>0.79400000000000004</v>
      </c>
      <c r="N68" s="229">
        <v>0.78</v>
      </c>
      <c r="O68" s="229">
        <v>0.82100000000000006</v>
      </c>
      <c r="P68" s="229">
        <v>1.0429999999999999</v>
      </c>
      <c r="Q68" s="230">
        <v>2.48</v>
      </c>
      <c r="R68" s="229">
        <v>0</v>
      </c>
      <c r="S68" s="229">
        <v>0</v>
      </c>
      <c r="T68" s="229">
        <v>0</v>
      </c>
      <c r="U68" s="230">
        <v>0</v>
      </c>
      <c r="V68" s="229">
        <v>0</v>
      </c>
      <c r="W68" s="229">
        <v>0</v>
      </c>
      <c r="X68" s="229">
        <v>0</v>
      </c>
      <c r="Y68" s="230">
        <v>0</v>
      </c>
      <c r="Z68" s="229">
        <v>0</v>
      </c>
      <c r="AA68" s="231">
        <v>0</v>
      </c>
      <c r="AB68" s="231">
        <v>0</v>
      </c>
      <c r="AC68" s="232">
        <v>0</v>
      </c>
      <c r="AD68" s="231">
        <v>0</v>
      </c>
      <c r="AE68" s="231">
        <v>0</v>
      </c>
      <c r="AF68" s="231">
        <v>0</v>
      </c>
      <c r="AG68" s="232">
        <v>0</v>
      </c>
      <c r="AH68" s="231">
        <v>0</v>
      </c>
      <c r="AI68" s="231">
        <v>0</v>
      </c>
      <c r="AJ68" s="231">
        <v>0</v>
      </c>
      <c r="AK68" s="232">
        <v>0</v>
      </c>
      <c r="AL68" s="231">
        <v>0</v>
      </c>
      <c r="AM68" s="231">
        <v>0</v>
      </c>
      <c r="AN68" s="231">
        <v>0</v>
      </c>
      <c r="AO68" s="232">
        <v>0</v>
      </c>
      <c r="AP68" s="549">
        <v>0</v>
      </c>
      <c r="AS68" s="232"/>
    </row>
    <row r="69" spans="1:45" s="25" customFormat="1" ht="20.149999999999999" customHeight="1">
      <c r="A69" s="442" t="s">
        <v>942</v>
      </c>
      <c r="B69" s="437" t="s">
        <v>766</v>
      </c>
      <c r="C69" s="230"/>
      <c r="D69" s="230"/>
      <c r="E69" s="230"/>
      <c r="F69" s="230"/>
      <c r="G69" s="229"/>
      <c r="H69" s="230"/>
      <c r="I69" s="229"/>
      <c r="J69" s="230"/>
      <c r="K69" s="229"/>
      <c r="L69" s="228"/>
      <c r="M69" s="224"/>
      <c r="N69" s="229"/>
      <c r="O69" s="229"/>
      <c r="P69" s="229"/>
      <c r="Q69" s="230"/>
      <c r="R69" s="229"/>
      <c r="S69" s="229"/>
      <c r="T69" s="229"/>
      <c r="U69" s="230"/>
      <c r="V69" s="229"/>
      <c r="W69" s="229"/>
      <c r="X69" s="229"/>
      <c r="Y69" s="230"/>
      <c r="Z69" s="229"/>
      <c r="AA69" s="231"/>
      <c r="AB69" s="231"/>
      <c r="AC69" s="232"/>
      <c r="AD69" s="231"/>
      <c r="AE69" s="231"/>
      <c r="AF69" s="231"/>
      <c r="AG69" s="232"/>
      <c r="AH69" s="231">
        <v>175.4</v>
      </c>
      <c r="AI69" s="231">
        <v>175.4</v>
      </c>
      <c r="AJ69" s="231">
        <v>175.4</v>
      </c>
      <c r="AK69" s="232">
        <v>175.4</v>
      </c>
      <c r="AL69" s="231">
        <v>0</v>
      </c>
      <c r="AM69" s="231">
        <v>0</v>
      </c>
      <c r="AN69" s="231">
        <v>0</v>
      </c>
      <c r="AO69" s="232">
        <v>0</v>
      </c>
      <c r="AP69" s="549">
        <v>0</v>
      </c>
      <c r="AS69" s="232"/>
    </row>
    <row r="70" spans="1:45" s="25" customFormat="1" ht="20.149999999999999" customHeight="1">
      <c r="A70" s="438" t="s">
        <v>943</v>
      </c>
      <c r="B70" s="437" t="s">
        <v>53</v>
      </c>
      <c r="C70" s="224">
        <v>-10.983000000000001</v>
      </c>
      <c r="D70" s="224">
        <v>-1.5309999999999999</v>
      </c>
      <c r="E70" s="224">
        <v>-0.23699999999999999</v>
      </c>
      <c r="F70" s="224">
        <v>-0.23700000000000002</v>
      </c>
      <c r="G70" s="226">
        <v>-0.11800000000000001</v>
      </c>
      <c r="H70" s="225">
        <v>-0.23700000000000002</v>
      </c>
      <c r="I70" s="226">
        <v>-0.11800000000000001</v>
      </c>
      <c r="J70" s="227">
        <v>-0.23700000000000002</v>
      </c>
      <c r="K70" s="228">
        <v>-0.193</v>
      </c>
      <c r="L70" s="228">
        <v>-0.63600000000000001</v>
      </c>
      <c r="M70" s="224">
        <v>-0.86399999999999999</v>
      </c>
      <c r="N70" s="229">
        <v>-0.14400000000000002</v>
      </c>
      <c r="O70" s="229">
        <v>-0.26200000000000001</v>
      </c>
      <c r="P70" s="229">
        <v>-0.41200000000000003</v>
      </c>
      <c r="Q70" s="230">
        <v>-0.51200000000000001</v>
      </c>
      <c r="R70" s="229">
        <v>-8.4000000000000005E-2</v>
      </c>
      <c r="S70" s="229">
        <v>-0.16600000000000001</v>
      </c>
      <c r="T70" s="229">
        <v>-0.24299999999999999</v>
      </c>
      <c r="U70" s="230">
        <v>-0.33500000000000002</v>
      </c>
      <c r="V70" s="229">
        <v>-7.8E-2</v>
      </c>
      <c r="W70" s="229">
        <v>-0.16800000000000001</v>
      </c>
      <c r="X70" s="229">
        <v>-0.25600000000000001</v>
      </c>
      <c r="Y70" s="230">
        <v>-0.33</v>
      </c>
      <c r="Z70" s="229">
        <v>-6.2E-2</v>
      </c>
      <c r="AA70" s="231">
        <v>-0.3</v>
      </c>
      <c r="AB70" s="231">
        <v>-0.7</v>
      </c>
      <c r="AC70" s="232">
        <v>-0.9</v>
      </c>
      <c r="AD70" s="231">
        <v>-2.5</v>
      </c>
      <c r="AE70" s="231">
        <v>-3.5</v>
      </c>
      <c r="AF70" s="231">
        <v>-4.5</v>
      </c>
      <c r="AG70" s="232">
        <v>-5.6</v>
      </c>
      <c r="AH70" s="231">
        <v>-1.1000000000000001</v>
      </c>
      <c r="AI70" s="231">
        <v>-2.1</v>
      </c>
      <c r="AJ70" s="439" t="s">
        <v>120</v>
      </c>
      <c r="AK70" s="247" t="s">
        <v>120</v>
      </c>
      <c r="AL70" s="439" t="s">
        <v>120</v>
      </c>
      <c r="AM70" s="439" t="s">
        <v>120</v>
      </c>
      <c r="AN70" s="439" t="s">
        <v>120</v>
      </c>
      <c r="AO70" s="247" t="s">
        <v>120</v>
      </c>
      <c r="AP70" s="549">
        <v>0</v>
      </c>
      <c r="AS70" s="247"/>
    </row>
    <row r="71" spans="1:45" s="25" customFormat="1" ht="20.149999999999999" customHeight="1">
      <c r="A71" s="438" t="s">
        <v>1039</v>
      </c>
      <c r="B71" s="437" t="s">
        <v>1040</v>
      </c>
      <c r="C71" s="224"/>
      <c r="D71" s="224"/>
      <c r="E71" s="224"/>
      <c r="F71" s="224"/>
      <c r="G71" s="226"/>
      <c r="H71" s="225"/>
      <c r="I71" s="226"/>
      <c r="J71" s="227"/>
      <c r="K71" s="228"/>
      <c r="L71" s="228"/>
      <c r="M71" s="224"/>
      <c r="N71" s="229"/>
      <c r="O71" s="229"/>
      <c r="P71" s="229"/>
      <c r="Q71" s="230"/>
      <c r="R71" s="229"/>
      <c r="S71" s="229"/>
      <c r="T71" s="229"/>
      <c r="U71" s="230"/>
      <c r="V71" s="229"/>
      <c r="W71" s="229"/>
      <c r="X71" s="229"/>
      <c r="Y71" s="230"/>
      <c r="Z71" s="229"/>
      <c r="AA71" s="231"/>
      <c r="AB71" s="231"/>
      <c r="AC71" s="232"/>
      <c r="AD71" s="231"/>
      <c r="AE71" s="231"/>
      <c r="AF71" s="231"/>
      <c r="AG71" s="232"/>
      <c r="AH71" s="231"/>
      <c r="AI71" s="231">
        <v>-323.60000000000002</v>
      </c>
      <c r="AJ71" s="231">
        <v>-323.60000000000002</v>
      </c>
      <c r="AK71" s="511">
        <v>-323.60000000000002</v>
      </c>
      <c r="AL71" s="439">
        <v>0</v>
      </c>
      <c r="AM71" s="439">
        <v>0</v>
      </c>
      <c r="AN71" s="439">
        <v>0</v>
      </c>
      <c r="AO71" s="511">
        <v>0</v>
      </c>
      <c r="AP71" s="549">
        <v>0</v>
      </c>
      <c r="AS71" s="511"/>
    </row>
    <row r="72" spans="1:45" s="25" customFormat="1" ht="20.149999999999999" customHeight="1">
      <c r="A72" s="438" t="s">
        <v>1015</v>
      </c>
      <c r="B72" s="437" t="s">
        <v>54</v>
      </c>
      <c r="C72" s="230">
        <v>0</v>
      </c>
      <c r="D72" s="230">
        <v>0</v>
      </c>
      <c r="E72" s="224">
        <v>-0.16400000000000001</v>
      </c>
      <c r="F72" s="224">
        <v>-2.5779999999999998</v>
      </c>
      <c r="G72" s="226">
        <v>-9.09</v>
      </c>
      <c r="H72" s="225">
        <v>-13.35</v>
      </c>
      <c r="I72" s="229">
        <v>0</v>
      </c>
      <c r="J72" s="227">
        <v>-9.8000000000000004E-2</v>
      </c>
      <c r="K72" s="229">
        <v>0</v>
      </c>
      <c r="L72" s="229">
        <v>0</v>
      </c>
      <c r="M72" s="230">
        <v>0</v>
      </c>
      <c r="N72" s="229">
        <v>0</v>
      </c>
      <c r="O72" s="229">
        <v>0</v>
      </c>
      <c r="P72" s="229">
        <v>0</v>
      </c>
      <c r="Q72" s="230">
        <v>0</v>
      </c>
      <c r="R72" s="229">
        <v>0</v>
      </c>
      <c r="S72" s="229">
        <v>-7.2999999999999995E-2</v>
      </c>
      <c r="T72" s="229">
        <v>-7.2000000000000008E-2</v>
      </c>
      <c r="U72" s="230">
        <v>-7.1000000000000008E-2</v>
      </c>
      <c r="V72" s="229">
        <v>0</v>
      </c>
      <c r="W72" s="229">
        <v>0</v>
      </c>
      <c r="X72" s="229">
        <v>0</v>
      </c>
      <c r="Y72" s="230">
        <v>0</v>
      </c>
      <c r="Z72" s="229">
        <v>0</v>
      </c>
      <c r="AA72" s="231">
        <v>0</v>
      </c>
      <c r="AB72" s="231">
        <v>0</v>
      </c>
      <c r="AC72" s="232">
        <v>0</v>
      </c>
      <c r="AD72" s="231">
        <v>0</v>
      </c>
      <c r="AE72" s="231">
        <v>0</v>
      </c>
      <c r="AF72" s="231">
        <v>0</v>
      </c>
      <c r="AG72" s="232">
        <v>0</v>
      </c>
      <c r="AH72" s="231">
        <v>-1</v>
      </c>
      <c r="AI72" s="231">
        <v>-0.6</v>
      </c>
      <c r="AJ72" s="231">
        <v>-4.4000000000000004</v>
      </c>
      <c r="AK72" s="232">
        <v>-6</v>
      </c>
      <c r="AL72" s="231">
        <v>-1.7</v>
      </c>
      <c r="AM72" s="231">
        <v>-2.9</v>
      </c>
      <c r="AN72" s="231">
        <v>-4.3</v>
      </c>
      <c r="AO72" s="232">
        <v>-5.2</v>
      </c>
      <c r="AP72" s="507">
        <v>-1.6</v>
      </c>
      <c r="AS72" s="232"/>
    </row>
    <row r="73" spans="1:45" s="25" customFormat="1" ht="20.149999999999999" customHeight="1" thickBot="1">
      <c r="A73" s="438" t="s">
        <v>944</v>
      </c>
      <c r="B73" s="437" t="s">
        <v>179</v>
      </c>
      <c r="C73" s="230"/>
      <c r="D73" s="230"/>
      <c r="E73" s="224"/>
      <c r="F73" s="225">
        <v>0</v>
      </c>
      <c r="G73" s="226">
        <v>0</v>
      </c>
      <c r="H73" s="225">
        <v>0</v>
      </c>
      <c r="I73" s="229">
        <v>0</v>
      </c>
      <c r="J73" s="227">
        <v>0</v>
      </c>
      <c r="K73" s="229">
        <v>0</v>
      </c>
      <c r="L73" s="229">
        <v>0</v>
      </c>
      <c r="M73" s="230">
        <v>0</v>
      </c>
      <c r="N73" s="229">
        <v>0</v>
      </c>
      <c r="O73" s="229">
        <v>0</v>
      </c>
      <c r="P73" s="229">
        <v>0</v>
      </c>
      <c r="Q73" s="230">
        <v>0</v>
      </c>
      <c r="R73" s="229">
        <v>0</v>
      </c>
      <c r="S73" s="229">
        <v>0</v>
      </c>
      <c r="T73" s="229">
        <v>0</v>
      </c>
      <c r="U73" s="230">
        <v>0</v>
      </c>
      <c r="V73" s="229">
        <v>0</v>
      </c>
      <c r="W73" s="229">
        <v>0</v>
      </c>
      <c r="X73" s="229">
        <v>0</v>
      </c>
      <c r="Y73" s="230">
        <v>0</v>
      </c>
      <c r="Z73" s="229">
        <v>0</v>
      </c>
      <c r="AA73" s="231">
        <v>-3.8</v>
      </c>
      <c r="AB73" s="231">
        <v>-3.9</v>
      </c>
      <c r="AC73" s="232">
        <v>-3.9</v>
      </c>
      <c r="AD73" s="231">
        <v>0</v>
      </c>
      <c r="AE73" s="231">
        <v>0</v>
      </c>
      <c r="AF73" s="231">
        <v>0</v>
      </c>
      <c r="AG73" s="232">
        <v>0</v>
      </c>
      <c r="AH73" s="231">
        <v>0</v>
      </c>
      <c r="AI73" s="231">
        <v>0</v>
      </c>
      <c r="AJ73" s="231">
        <v>0</v>
      </c>
      <c r="AK73" s="232">
        <v>0</v>
      </c>
      <c r="AL73" s="231">
        <v>0</v>
      </c>
      <c r="AM73" s="231">
        <v>0</v>
      </c>
      <c r="AN73" s="231">
        <v>0</v>
      </c>
      <c r="AO73" s="232">
        <v>0</v>
      </c>
      <c r="AP73" s="507">
        <v>0</v>
      </c>
      <c r="AS73" s="232"/>
    </row>
    <row r="74" spans="1:45" ht="20.149999999999999" customHeight="1" thickBot="1">
      <c r="A74" s="399" t="s">
        <v>945</v>
      </c>
      <c r="B74" s="399" t="s">
        <v>138</v>
      </c>
      <c r="C74" s="449">
        <f t="shared" ref="C74:AM74" si="7">SUM(C58:C73)</f>
        <v>-27.914000000000001</v>
      </c>
      <c r="D74" s="449">
        <f t="shared" si="7"/>
        <v>-8.5389999999999997</v>
      </c>
      <c r="E74" s="449">
        <f t="shared" si="7"/>
        <v>3.0739999999999976</v>
      </c>
      <c r="F74" s="449">
        <f t="shared" si="7"/>
        <v>-15.666999999999996</v>
      </c>
      <c r="G74" s="450">
        <f t="shared" si="7"/>
        <v>-68.25800000000001</v>
      </c>
      <c r="H74" s="449">
        <f t="shared" si="7"/>
        <v>-165.39</v>
      </c>
      <c r="I74" s="450">
        <f t="shared" si="7"/>
        <v>-165.45699999999999</v>
      </c>
      <c r="J74" s="449">
        <f t="shared" si="7"/>
        <v>-268.82600000000002</v>
      </c>
      <c r="K74" s="450">
        <f t="shared" si="7"/>
        <v>-28.29</v>
      </c>
      <c r="L74" s="450">
        <f t="shared" si="7"/>
        <v>-84.121000000000024</v>
      </c>
      <c r="M74" s="449">
        <f t="shared" si="7"/>
        <v>-191.76899999999998</v>
      </c>
      <c r="N74" s="450">
        <f t="shared" si="7"/>
        <v>146.191</v>
      </c>
      <c r="O74" s="450">
        <f t="shared" si="7"/>
        <v>2538.9379999999996</v>
      </c>
      <c r="P74" s="450">
        <f t="shared" si="7"/>
        <v>2465.7219999999998</v>
      </c>
      <c r="Q74" s="449">
        <f t="shared" si="7"/>
        <v>2327.4289999999996</v>
      </c>
      <c r="R74" s="450">
        <f t="shared" si="7"/>
        <v>-52.972000000000001</v>
      </c>
      <c r="S74" s="450">
        <f t="shared" si="7"/>
        <v>-260.08099999999996</v>
      </c>
      <c r="T74" s="450">
        <f t="shared" si="7"/>
        <v>-525.96400000000006</v>
      </c>
      <c r="U74" s="449">
        <f t="shared" si="7"/>
        <v>-653.34700000000009</v>
      </c>
      <c r="V74" s="450">
        <f t="shared" si="7"/>
        <v>-66.737000000000009</v>
      </c>
      <c r="W74" s="450">
        <f t="shared" si="7"/>
        <v>-278.43799999999999</v>
      </c>
      <c r="X74" s="450">
        <f t="shared" si="7"/>
        <v>-464.322</v>
      </c>
      <c r="Y74" s="449">
        <f t="shared" si="7"/>
        <v>-596.46400000000006</v>
      </c>
      <c r="Z74" s="450">
        <f t="shared" si="7"/>
        <v>-46.550999999999995</v>
      </c>
      <c r="AA74" s="451">
        <f t="shared" si="7"/>
        <v>-478.30000000000018</v>
      </c>
      <c r="AB74" s="451">
        <f t="shared" si="7"/>
        <v>-1064.0000000000002</v>
      </c>
      <c r="AC74" s="452">
        <f t="shared" si="7"/>
        <v>-1542.9000000000003</v>
      </c>
      <c r="AD74" s="451">
        <f t="shared" si="7"/>
        <v>-467.4</v>
      </c>
      <c r="AE74" s="451">
        <f t="shared" si="7"/>
        <v>-1310</v>
      </c>
      <c r="AF74" s="451">
        <f t="shared" si="7"/>
        <v>-2210.8000000000006</v>
      </c>
      <c r="AG74" s="452">
        <f t="shared" si="7"/>
        <v>-2386.7000000000007</v>
      </c>
      <c r="AH74" s="451">
        <f t="shared" si="7"/>
        <v>-371.90000000000032</v>
      </c>
      <c r="AI74" s="451">
        <f t="shared" si="7"/>
        <v>-1403.6</v>
      </c>
      <c r="AJ74" s="451">
        <f t="shared" si="7"/>
        <v>-1737.1000000000004</v>
      </c>
      <c r="AK74" s="452">
        <f t="shared" si="7"/>
        <v>-2070.7999999999997</v>
      </c>
      <c r="AL74" s="451">
        <f t="shared" si="7"/>
        <v>-348.2</v>
      </c>
      <c r="AM74" s="451">
        <f t="shared" si="7"/>
        <v>-1122.3000000000002</v>
      </c>
      <c r="AN74" s="451">
        <f t="shared" ref="AN74" si="8">SUM(AN58:AN73)</f>
        <v>-1676.0000000000002</v>
      </c>
      <c r="AO74" s="452">
        <f t="shared" ref="AO74" si="9">SUM(AO58:AO73)</f>
        <v>-1527.7</v>
      </c>
      <c r="AP74" s="550">
        <f>SUM(AP59:AP73)</f>
        <v>-689.6</v>
      </c>
      <c r="AQ74" s="451"/>
      <c r="AR74" s="451"/>
      <c r="AS74" s="452"/>
    </row>
    <row r="75" spans="1:45" ht="20.149999999999999" customHeight="1" thickBot="1">
      <c r="A75" s="399" t="s">
        <v>946</v>
      </c>
      <c r="B75" s="399" t="s">
        <v>55</v>
      </c>
      <c r="C75" s="449">
        <f t="shared" ref="C75:R75" si="10">C36+C57+C74</f>
        <v>-25.195999999999998</v>
      </c>
      <c r="D75" s="449">
        <f t="shared" si="10"/>
        <v>52.516999999999989</v>
      </c>
      <c r="E75" s="449">
        <f t="shared" si="10"/>
        <v>45.620000000000012</v>
      </c>
      <c r="F75" s="449">
        <f t="shared" si="10"/>
        <v>41.185000000000009</v>
      </c>
      <c r="G75" s="450">
        <f t="shared" si="10"/>
        <v>-13.350000000000037</v>
      </c>
      <c r="H75" s="449">
        <f t="shared" si="10"/>
        <v>95.290999999999997</v>
      </c>
      <c r="I75" s="450">
        <f t="shared" si="10"/>
        <v>-164.863</v>
      </c>
      <c r="J75" s="449">
        <f t="shared" si="10"/>
        <v>-146.86699999999999</v>
      </c>
      <c r="K75" s="450">
        <f t="shared" si="10"/>
        <v>-51.904000000000003</v>
      </c>
      <c r="L75" s="450">
        <f t="shared" si="10"/>
        <v>-65.338000000000008</v>
      </c>
      <c r="M75" s="449">
        <f t="shared" si="10"/>
        <v>-71.653999999999925</v>
      </c>
      <c r="N75" s="450">
        <f t="shared" si="10"/>
        <v>129.44799999999998</v>
      </c>
      <c r="O75" s="450">
        <f t="shared" si="10"/>
        <v>270.38099999999986</v>
      </c>
      <c r="P75" s="450">
        <f t="shared" si="10"/>
        <v>333.86500000000024</v>
      </c>
      <c r="Q75" s="449">
        <f t="shared" si="10"/>
        <v>247.72399999999971</v>
      </c>
      <c r="R75" s="450">
        <f t="shared" si="10"/>
        <v>147.59399999999997</v>
      </c>
      <c r="S75" s="450">
        <f t="shared" ref="S75:AM75" si="11">S74+S57+S36</f>
        <v>33.256000000000029</v>
      </c>
      <c r="T75" s="450">
        <f t="shared" si="11"/>
        <v>-51.083999999999946</v>
      </c>
      <c r="U75" s="449">
        <f t="shared" si="11"/>
        <v>-5.4109999999999445</v>
      </c>
      <c r="V75" s="450">
        <f t="shared" si="11"/>
        <v>53.822999999999979</v>
      </c>
      <c r="W75" s="450">
        <f t="shared" si="11"/>
        <v>-5.0790000000000077</v>
      </c>
      <c r="X75" s="450">
        <f t="shared" si="11"/>
        <v>-55.118000000000052</v>
      </c>
      <c r="Y75" s="449">
        <f t="shared" si="11"/>
        <v>72.357999999999834</v>
      </c>
      <c r="Z75" s="450">
        <f t="shared" si="11"/>
        <v>85.956000000000017</v>
      </c>
      <c r="AA75" s="451">
        <f t="shared" si="11"/>
        <v>1565.3999999999996</v>
      </c>
      <c r="AB75" s="451">
        <f t="shared" si="11"/>
        <v>1300.0999999999999</v>
      </c>
      <c r="AC75" s="452">
        <f t="shared" si="11"/>
        <v>1403.7999999999988</v>
      </c>
      <c r="AD75" s="451">
        <f t="shared" si="11"/>
        <v>-257.89999999999981</v>
      </c>
      <c r="AE75" s="451">
        <f t="shared" si="11"/>
        <v>-353.30000000000041</v>
      </c>
      <c r="AF75" s="451">
        <f t="shared" si="11"/>
        <v>-677.30000000000109</v>
      </c>
      <c r="AG75" s="452">
        <f t="shared" si="11"/>
        <v>-225.60000000000127</v>
      </c>
      <c r="AH75" s="451">
        <f t="shared" si="11"/>
        <v>49.999999999999716</v>
      </c>
      <c r="AI75" s="451">
        <f t="shared" si="11"/>
        <v>-568.69999999999982</v>
      </c>
      <c r="AJ75" s="451">
        <f t="shared" si="11"/>
        <v>-411.40000000000009</v>
      </c>
      <c r="AK75" s="452">
        <f t="shared" si="11"/>
        <v>-189.49999999999955</v>
      </c>
      <c r="AL75" s="451">
        <f t="shared" si="11"/>
        <v>244.29999999999995</v>
      </c>
      <c r="AM75" s="451">
        <f t="shared" si="11"/>
        <v>29.599999999999909</v>
      </c>
      <c r="AN75" s="451">
        <f t="shared" ref="AN75" si="12">AN74+AN57+AN36</f>
        <v>-245.50000000000045</v>
      </c>
      <c r="AO75" s="452">
        <f t="shared" ref="AO75" si="13">AO74+AO57+AO36</f>
        <v>-159.59999999999945</v>
      </c>
      <c r="AP75" s="550">
        <f>AP74+AP57+AP36</f>
        <v>-374.99999999999989</v>
      </c>
      <c r="AQ75" s="451"/>
      <c r="AR75" s="451"/>
      <c r="AS75" s="452"/>
    </row>
    <row r="76" spans="1:45" ht="20.149999999999999" customHeight="1" thickBot="1">
      <c r="A76" s="399" t="s">
        <v>947</v>
      </c>
      <c r="B76" s="399" t="s">
        <v>56</v>
      </c>
      <c r="C76" s="453">
        <v>36.627000000000002</v>
      </c>
      <c r="D76" s="453">
        <v>11.874000000000001</v>
      </c>
      <c r="E76" s="453">
        <v>64.477999999999994</v>
      </c>
      <c r="F76" s="453">
        <v>109.833</v>
      </c>
      <c r="G76" s="454">
        <v>150.726</v>
      </c>
      <c r="H76" s="453">
        <v>150.726</v>
      </c>
      <c r="I76" s="450">
        <v>246.422</v>
      </c>
      <c r="J76" s="455">
        <v>246.422</v>
      </c>
      <c r="K76" s="456">
        <v>99.39</v>
      </c>
      <c r="L76" s="456">
        <v>99.39</v>
      </c>
      <c r="M76" s="455">
        <v>99.39</v>
      </c>
      <c r="N76" s="450">
        <v>27.615000000000002</v>
      </c>
      <c r="O76" s="450">
        <v>27.615000000000002</v>
      </c>
      <c r="P76" s="450">
        <v>27.615000000000002</v>
      </c>
      <c r="Q76" s="449">
        <v>27.615000000000002</v>
      </c>
      <c r="R76" s="450">
        <v>277.53399999999999</v>
      </c>
      <c r="S76" s="450">
        <v>277.53399999999999</v>
      </c>
      <c r="T76" s="450">
        <v>277.53399999999999</v>
      </c>
      <c r="U76" s="449">
        <v>277.53399999999999</v>
      </c>
      <c r="V76" s="450">
        <v>270.35399999999998</v>
      </c>
      <c r="W76" s="450">
        <v>270.35399999999998</v>
      </c>
      <c r="X76" s="450">
        <v>270.35399999999998</v>
      </c>
      <c r="Y76" s="449">
        <v>270.35399999999998</v>
      </c>
      <c r="Z76" s="450">
        <v>342.25100000000003</v>
      </c>
      <c r="AA76" s="451">
        <v>342.2</v>
      </c>
      <c r="AB76" s="451">
        <v>342.2</v>
      </c>
      <c r="AC76" s="452">
        <v>342.2</v>
      </c>
      <c r="AD76" s="451">
        <v>1747.9</v>
      </c>
      <c r="AE76" s="451">
        <v>1747.9</v>
      </c>
      <c r="AF76" s="451">
        <v>1747.9</v>
      </c>
      <c r="AG76" s="452">
        <v>1747.9</v>
      </c>
      <c r="AH76" s="451">
        <f>AG78</f>
        <v>1523.6999999999989</v>
      </c>
      <c r="AI76" s="451">
        <f>AG78</f>
        <v>1523.6999999999989</v>
      </c>
      <c r="AJ76" s="451">
        <f>AG78</f>
        <v>1523.6999999999989</v>
      </c>
      <c r="AK76" s="452">
        <f>AG78</f>
        <v>1523.6999999999989</v>
      </c>
      <c r="AL76" s="451">
        <f>AK78</f>
        <v>1336.6999999999994</v>
      </c>
      <c r="AM76" s="451">
        <f>AK78</f>
        <v>1336.6999999999994</v>
      </c>
      <c r="AN76" s="451">
        <f>AK78</f>
        <v>1336.6999999999994</v>
      </c>
      <c r="AO76" s="452">
        <f>AK78</f>
        <v>1336.6999999999994</v>
      </c>
      <c r="AP76" s="452">
        <f>AO78</f>
        <v>1172</v>
      </c>
      <c r="AQ76" s="451"/>
      <c r="AR76" s="451"/>
      <c r="AS76" s="452"/>
    </row>
    <row r="77" spans="1:45" s="25" customFormat="1" ht="26.25" customHeight="1" thickBot="1">
      <c r="A77" s="279" t="s">
        <v>948</v>
      </c>
      <c r="B77" s="437" t="s">
        <v>57</v>
      </c>
      <c r="C77" s="224">
        <v>0.14299999999999999</v>
      </c>
      <c r="D77" s="224">
        <v>8.6999999999999994E-2</v>
      </c>
      <c r="E77" s="224">
        <v>-0.26500000000000001</v>
      </c>
      <c r="F77" s="224">
        <v>-0.29199999999999998</v>
      </c>
      <c r="G77" s="226">
        <v>-8.5000000000000006E-2</v>
      </c>
      <c r="H77" s="224">
        <v>0.40500000000000003</v>
      </c>
      <c r="I77" s="226">
        <v>-0.28899999999999998</v>
      </c>
      <c r="J77" s="224">
        <v>-0.16500000000000001</v>
      </c>
      <c r="K77" s="226">
        <v>8.5000000000000006E-2</v>
      </c>
      <c r="L77" s="226">
        <v>-1.4E-2</v>
      </c>
      <c r="M77" s="224">
        <v>-0.121</v>
      </c>
      <c r="N77" s="229">
        <v>-0.64900000000000002</v>
      </c>
      <c r="O77" s="229">
        <v>0.61799999999999999</v>
      </c>
      <c r="P77" s="229">
        <v>2.6360000000000001</v>
      </c>
      <c r="Q77" s="230">
        <v>2.1949999999999998</v>
      </c>
      <c r="R77" s="229">
        <v>-2.5009999999999999</v>
      </c>
      <c r="S77" s="229">
        <v>-1.2710000000000001</v>
      </c>
      <c r="T77" s="229">
        <v>-1.339</v>
      </c>
      <c r="U77" s="230">
        <v>-1.7690000000000001</v>
      </c>
      <c r="V77" s="229">
        <v>0.161</v>
      </c>
      <c r="W77" s="229">
        <v>0.52800000000000002</v>
      </c>
      <c r="X77" s="229">
        <v>0.16</v>
      </c>
      <c r="Y77" s="230">
        <v>-0.46100000000000002</v>
      </c>
      <c r="Z77" s="229">
        <v>-1.7000000000000001E-2</v>
      </c>
      <c r="AA77" s="231">
        <v>-0.7</v>
      </c>
      <c r="AB77" s="231">
        <v>0.9</v>
      </c>
      <c r="AC77" s="232">
        <v>1.9</v>
      </c>
      <c r="AD77" s="231">
        <v>1.6</v>
      </c>
      <c r="AE77" s="231">
        <v>2</v>
      </c>
      <c r="AF77" s="231">
        <v>1.4</v>
      </c>
      <c r="AG77" s="232">
        <v>1.4</v>
      </c>
      <c r="AH77" s="231">
        <v>-3.7</v>
      </c>
      <c r="AI77" s="231">
        <v>0.4</v>
      </c>
      <c r="AJ77" s="231">
        <v>-2.1</v>
      </c>
      <c r="AK77" s="232">
        <v>2.5</v>
      </c>
      <c r="AL77" s="231">
        <v>-3.7</v>
      </c>
      <c r="AM77" s="231">
        <v>-3.7</v>
      </c>
      <c r="AN77" s="231">
        <v>-2.8</v>
      </c>
      <c r="AO77" s="232">
        <v>-5.0999999999999996</v>
      </c>
      <c r="AP77" s="507">
        <v>0.5</v>
      </c>
      <c r="AS77" s="232"/>
    </row>
    <row r="78" spans="1:45" ht="20.149999999999999" customHeight="1" thickBot="1">
      <c r="A78" s="399" t="s">
        <v>949</v>
      </c>
      <c r="B78" s="399" t="s">
        <v>741</v>
      </c>
      <c r="C78" s="449">
        <f t="shared" ref="C78:R78" si="14">C75+C76+C77</f>
        <v>11.574000000000005</v>
      </c>
      <c r="D78" s="449">
        <f t="shared" si="14"/>
        <v>64.477999999999994</v>
      </c>
      <c r="E78" s="449">
        <f t="shared" si="14"/>
        <v>109.83300000000001</v>
      </c>
      <c r="F78" s="449">
        <f t="shared" si="14"/>
        <v>150.726</v>
      </c>
      <c r="G78" s="450">
        <f t="shared" si="14"/>
        <v>137.29099999999997</v>
      </c>
      <c r="H78" s="449">
        <f t="shared" si="14"/>
        <v>246.422</v>
      </c>
      <c r="I78" s="450">
        <f t="shared" si="14"/>
        <v>81.27</v>
      </c>
      <c r="J78" s="449">
        <f t="shared" si="14"/>
        <v>99.39</v>
      </c>
      <c r="K78" s="450">
        <f t="shared" si="14"/>
        <v>47.570999999999998</v>
      </c>
      <c r="L78" s="450">
        <f t="shared" si="14"/>
        <v>34.03799999999999</v>
      </c>
      <c r="M78" s="449">
        <f t="shared" si="14"/>
        <v>27.615000000000077</v>
      </c>
      <c r="N78" s="450">
        <f t="shared" si="14"/>
        <v>156.41399999999999</v>
      </c>
      <c r="O78" s="450">
        <f t="shared" si="14"/>
        <v>298.61399999999986</v>
      </c>
      <c r="P78" s="450">
        <f t="shared" si="14"/>
        <v>364.11600000000027</v>
      </c>
      <c r="Q78" s="449">
        <f t="shared" si="14"/>
        <v>277.53399999999971</v>
      </c>
      <c r="R78" s="450">
        <f t="shared" si="14"/>
        <v>422.62699999999995</v>
      </c>
      <c r="S78" s="450">
        <f t="shared" ref="S78:AK78" si="15">S76+S75+S77</f>
        <v>309.51900000000001</v>
      </c>
      <c r="T78" s="450">
        <f t="shared" si="15"/>
        <v>225.11100000000005</v>
      </c>
      <c r="U78" s="449">
        <f t="shared" si="15"/>
        <v>270.35400000000004</v>
      </c>
      <c r="V78" s="450">
        <f t="shared" si="15"/>
        <v>324.33799999999997</v>
      </c>
      <c r="W78" s="450">
        <f t="shared" si="15"/>
        <v>265.803</v>
      </c>
      <c r="X78" s="450">
        <f t="shared" si="15"/>
        <v>215.39599999999993</v>
      </c>
      <c r="Y78" s="449">
        <f t="shared" si="15"/>
        <v>342.25099999999981</v>
      </c>
      <c r="Z78" s="450">
        <f t="shared" si="15"/>
        <v>428.19000000000005</v>
      </c>
      <c r="AA78" s="451">
        <f t="shared" si="15"/>
        <v>1906.8999999999996</v>
      </c>
      <c r="AB78" s="451">
        <f t="shared" si="15"/>
        <v>1643.2</v>
      </c>
      <c r="AC78" s="452">
        <f t="shared" si="15"/>
        <v>1747.899999999999</v>
      </c>
      <c r="AD78" s="451">
        <f t="shared" si="15"/>
        <v>1491.6000000000001</v>
      </c>
      <c r="AE78" s="451">
        <f t="shared" si="15"/>
        <v>1396.5999999999997</v>
      </c>
      <c r="AF78" s="451">
        <f t="shared" si="15"/>
        <v>1071.9999999999991</v>
      </c>
      <c r="AG78" s="452">
        <f t="shared" si="15"/>
        <v>1523.6999999999989</v>
      </c>
      <c r="AH78" s="451">
        <f t="shared" si="15"/>
        <v>1569.9999999999986</v>
      </c>
      <c r="AI78" s="451">
        <f t="shared" si="15"/>
        <v>955.39999999999907</v>
      </c>
      <c r="AJ78" s="451">
        <f t="shared" si="15"/>
        <v>1110.1999999999989</v>
      </c>
      <c r="AK78" s="452">
        <f t="shared" si="15"/>
        <v>1336.6999999999994</v>
      </c>
      <c r="AL78" s="451">
        <f t="shared" ref="AL78:AO78" si="16">AL76+AL75+AL77</f>
        <v>1577.2999999999993</v>
      </c>
      <c r="AM78" s="451">
        <f t="shared" si="16"/>
        <v>1362.5999999999992</v>
      </c>
      <c r="AN78" s="451">
        <f t="shared" si="16"/>
        <v>1088.399999999999</v>
      </c>
      <c r="AO78" s="452">
        <f t="shared" si="16"/>
        <v>1172</v>
      </c>
      <c r="AP78" s="550">
        <f t="shared" ref="AP78" si="17">AP76+AP75+AP77</f>
        <v>797.50000000000011</v>
      </c>
      <c r="AQ78" s="451"/>
      <c r="AR78" s="451"/>
      <c r="AS78" s="452"/>
    </row>
    <row r="79" spans="1:45">
      <c r="A79" s="9"/>
      <c r="B79" s="9"/>
      <c r="C79" s="189"/>
      <c r="D79" s="189"/>
      <c r="E79" s="189"/>
      <c r="F79" s="189"/>
      <c r="G79" s="189"/>
      <c r="H79" s="188"/>
      <c r="I79" s="188"/>
      <c r="J79" s="190"/>
      <c r="K79" s="191"/>
      <c r="L79" s="189"/>
      <c r="M79" s="189"/>
      <c r="N79" s="189"/>
      <c r="O79" s="189"/>
      <c r="P79" s="192"/>
      <c r="Q79" s="192"/>
      <c r="R79" s="192"/>
      <c r="S79" s="192"/>
      <c r="T79" s="192"/>
      <c r="U79" s="192"/>
      <c r="V79" s="192"/>
      <c r="W79" s="192"/>
      <c r="X79" s="192"/>
      <c r="Y79" s="192"/>
      <c r="Z79" s="192"/>
      <c r="AC79" s="142"/>
      <c r="AG79" s="142"/>
      <c r="AK79" s="142"/>
      <c r="AP79" s="153"/>
      <c r="AQ79" s="153"/>
      <c r="AR79" s="153"/>
      <c r="AS79" s="153"/>
    </row>
    <row r="80" spans="1:45">
      <c r="A80" s="9"/>
      <c r="B80" s="9"/>
      <c r="C80" s="189"/>
      <c r="D80" s="189"/>
      <c r="E80" s="189"/>
      <c r="F80" s="189"/>
      <c r="G80" s="189"/>
      <c r="H80" s="189"/>
      <c r="I80" s="188"/>
      <c r="J80" s="190"/>
      <c r="K80" s="188"/>
      <c r="L80" s="189"/>
      <c r="M80" s="189"/>
      <c r="N80" s="189"/>
      <c r="O80" s="189"/>
      <c r="P80" s="192"/>
      <c r="Q80" s="192"/>
      <c r="R80" s="192"/>
      <c r="S80" s="192"/>
      <c r="T80" s="192"/>
      <c r="U80" s="192"/>
      <c r="V80" s="192"/>
      <c r="W80" s="192"/>
      <c r="X80" s="192"/>
      <c r="Y80" s="192"/>
      <c r="Z80" s="192"/>
      <c r="AC80" s="142"/>
      <c r="AG80" s="142"/>
      <c r="AK80" s="142"/>
      <c r="AP80" s="153"/>
    </row>
    <row r="81" spans="1:42">
      <c r="A81" s="9" t="s">
        <v>950</v>
      </c>
      <c r="B81" s="9" t="s">
        <v>733</v>
      </c>
      <c r="C81" s="189"/>
      <c r="D81" s="189"/>
      <c r="E81" s="189"/>
      <c r="F81" s="189"/>
      <c r="G81" s="189"/>
      <c r="H81" s="189"/>
      <c r="I81" s="187"/>
      <c r="J81" s="193"/>
      <c r="K81" s="193"/>
      <c r="L81" s="189"/>
      <c r="M81" s="189"/>
      <c r="N81" s="189"/>
      <c r="O81" s="189"/>
      <c r="P81" s="192"/>
      <c r="Q81" s="192"/>
      <c r="R81" s="192"/>
      <c r="S81" s="192"/>
      <c r="T81" s="192"/>
      <c r="U81" s="192"/>
      <c r="V81" s="192"/>
      <c r="W81" s="192"/>
      <c r="X81" s="192"/>
      <c r="Y81" s="192"/>
      <c r="Z81" s="192"/>
      <c r="AC81" s="142"/>
      <c r="AG81" s="142"/>
      <c r="AK81" s="142"/>
      <c r="AP81" s="153"/>
    </row>
    <row r="82" spans="1:42">
      <c r="A82" s="9" t="s">
        <v>951</v>
      </c>
      <c r="B82" s="9" t="s">
        <v>1022</v>
      </c>
      <c r="C82" s="189"/>
      <c r="D82" s="189"/>
      <c r="E82" s="189"/>
      <c r="F82" s="189"/>
      <c r="G82" s="189"/>
      <c r="H82" s="189"/>
      <c r="I82" s="188"/>
      <c r="J82" s="194"/>
      <c r="K82" s="194"/>
      <c r="L82" s="189"/>
      <c r="M82" s="189"/>
      <c r="N82" s="189"/>
      <c r="O82" s="189"/>
      <c r="P82" s="192"/>
      <c r="Q82" s="192"/>
      <c r="R82" s="192"/>
      <c r="S82" s="192"/>
      <c r="T82" s="192"/>
      <c r="U82" s="192"/>
      <c r="V82" s="192"/>
      <c r="W82" s="192"/>
      <c r="X82" s="192"/>
      <c r="Y82" s="192"/>
      <c r="Z82" s="192"/>
      <c r="AC82" s="142"/>
      <c r="AG82" s="142"/>
      <c r="AK82" s="142"/>
      <c r="AP82" s="153"/>
    </row>
    <row r="83" spans="1:42" ht="12">
      <c r="A83" s="9" t="s">
        <v>1016</v>
      </c>
      <c r="B83" s="189" t="s">
        <v>786</v>
      </c>
      <c r="C83" s="189"/>
      <c r="D83" s="189"/>
      <c r="E83" s="189"/>
      <c r="F83" s="189"/>
      <c r="G83" s="189"/>
      <c r="H83" s="188"/>
      <c r="I83" s="190"/>
      <c r="J83" s="189"/>
      <c r="K83" s="189"/>
      <c r="L83" s="189"/>
      <c r="M83" s="189"/>
      <c r="N83" s="189"/>
      <c r="O83" s="192"/>
      <c r="P83" s="192"/>
      <c r="Q83" s="192"/>
      <c r="R83" s="192"/>
      <c r="S83" s="192"/>
      <c r="T83" s="192"/>
      <c r="U83" s="192"/>
      <c r="V83" s="192"/>
      <c r="W83" s="192"/>
      <c r="X83" s="192"/>
      <c r="Y83" s="192"/>
      <c r="AB83" s="142"/>
      <c r="AF83" s="142"/>
      <c r="AJ83" s="142"/>
      <c r="AN83" s="142"/>
      <c r="AO83" s="142"/>
      <c r="AP83" s="502"/>
    </row>
    <row r="84" spans="1:42" s="501" customFormat="1" ht="12">
      <c r="A84" s="497" t="s">
        <v>1029</v>
      </c>
      <c r="B84" s="498" t="s">
        <v>1031</v>
      </c>
      <c r="C84" s="498"/>
      <c r="D84" s="498"/>
      <c r="E84" s="498"/>
      <c r="F84" s="498"/>
      <c r="G84" s="498"/>
      <c r="H84" s="499"/>
      <c r="I84" s="499"/>
      <c r="J84" s="499"/>
      <c r="K84" s="498"/>
      <c r="L84" s="498"/>
      <c r="M84" s="498"/>
      <c r="N84" s="498"/>
      <c r="O84" s="500"/>
      <c r="P84" s="500"/>
      <c r="Q84" s="500"/>
      <c r="R84" s="500"/>
      <c r="S84" s="500"/>
      <c r="T84" s="500"/>
      <c r="U84" s="500"/>
      <c r="V84" s="500"/>
      <c r="W84" s="500"/>
      <c r="X84" s="500"/>
      <c r="Y84" s="500"/>
      <c r="AB84" s="502"/>
      <c r="AF84" s="502"/>
      <c r="AJ84" s="502"/>
      <c r="AN84" s="502"/>
      <c r="AO84" s="502"/>
      <c r="AP84" s="502"/>
    </row>
    <row r="85" spans="1:42" s="501" customFormat="1" ht="12">
      <c r="A85" s="497"/>
      <c r="B85" s="498"/>
      <c r="C85" s="498"/>
      <c r="D85" s="498"/>
      <c r="E85" s="498"/>
      <c r="F85" s="498"/>
      <c r="G85" s="498"/>
      <c r="H85" s="503"/>
      <c r="I85" s="503"/>
      <c r="J85" s="498"/>
      <c r="K85" s="498"/>
      <c r="L85" s="498"/>
      <c r="M85" s="498"/>
      <c r="N85" s="498"/>
      <c r="O85" s="500"/>
      <c r="P85" s="500"/>
      <c r="Q85" s="500"/>
      <c r="R85" s="500"/>
      <c r="S85" s="500"/>
      <c r="T85" s="500"/>
      <c r="U85" s="500"/>
      <c r="V85" s="500"/>
      <c r="W85" s="500"/>
      <c r="X85" s="500"/>
      <c r="Y85" s="500"/>
      <c r="AB85" s="502"/>
      <c r="AF85" s="502"/>
      <c r="AJ85" s="502"/>
      <c r="AN85" s="502"/>
      <c r="AO85" s="502"/>
      <c r="AP85" s="502"/>
    </row>
    <row r="86" spans="1:42" s="501" customFormat="1" ht="12">
      <c r="A86" s="497"/>
      <c r="B86" s="498"/>
      <c r="C86" s="498"/>
      <c r="D86" s="498"/>
      <c r="E86" s="498"/>
      <c r="F86" s="498"/>
      <c r="G86" s="498"/>
      <c r="H86" s="499"/>
      <c r="I86" s="499"/>
      <c r="J86" s="499"/>
      <c r="K86" s="498"/>
      <c r="L86" s="498"/>
      <c r="M86" s="498"/>
      <c r="N86" s="498"/>
      <c r="O86" s="500"/>
      <c r="P86" s="500"/>
      <c r="Q86" s="500"/>
      <c r="R86" s="500"/>
      <c r="S86" s="500"/>
      <c r="T86" s="500"/>
      <c r="U86" s="500"/>
      <c r="V86" s="500"/>
      <c r="W86" s="500"/>
      <c r="X86" s="500"/>
      <c r="Y86" s="500"/>
      <c r="AB86" s="502"/>
      <c r="AF86" s="502"/>
      <c r="AJ86" s="502"/>
      <c r="AN86" s="502"/>
      <c r="AO86" s="502"/>
      <c r="AP86" s="502"/>
    </row>
    <row r="87" spans="1:42" s="501" customFormat="1" ht="12">
      <c r="A87" s="497"/>
      <c r="B87" s="498"/>
      <c r="C87" s="498"/>
      <c r="D87" s="498"/>
      <c r="E87" s="498"/>
      <c r="F87" s="498"/>
      <c r="G87" s="498"/>
      <c r="H87" s="503"/>
      <c r="I87" s="503"/>
      <c r="J87" s="503"/>
      <c r="K87" s="498"/>
      <c r="L87" s="498"/>
      <c r="M87" s="498"/>
      <c r="N87" s="498"/>
      <c r="O87" s="500"/>
      <c r="P87" s="500"/>
      <c r="Q87" s="500"/>
      <c r="R87" s="500"/>
      <c r="S87" s="500"/>
      <c r="T87" s="500"/>
      <c r="U87" s="500"/>
      <c r="V87" s="500"/>
      <c r="W87" s="500"/>
      <c r="X87" s="500"/>
      <c r="Y87" s="500"/>
      <c r="AB87" s="502"/>
      <c r="AF87" s="502"/>
      <c r="AJ87" s="502"/>
      <c r="AN87" s="502"/>
      <c r="AO87" s="502"/>
      <c r="AP87" s="502"/>
    </row>
    <row r="88" spans="1:42" s="501" customFormat="1" ht="12">
      <c r="A88" s="497"/>
      <c r="B88" s="498"/>
      <c r="C88" s="498"/>
      <c r="D88" s="498"/>
      <c r="E88" s="498"/>
      <c r="F88" s="498"/>
      <c r="G88" s="498"/>
      <c r="H88" s="503"/>
      <c r="I88" s="503"/>
      <c r="J88" s="503"/>
      <c r="K88" s="498"/>
      <c r="L88" s="498"/>
      <c r="M88" s="498"/>
      <c r="N88" s="498"/>
      <c r="O88" s="500"/>
      <c r="P88" s="500"/>
      <c r="Q88" s="500"/>
      <c r="R88" s="500"/>
      <c r="S88" s="500"/>
      <c r="T88" s="500"/>
      <c r="U88" s="500"/>
      <c r="V88" s="500"/>
      <c r="W88" s="500"/>
      <c r="X88" s="500"/>
      <c r="Y88" s="500"/>
      <c r="AB88" s="502"/>
      <c r="AF88" s="502"/>
      <c r="AJ88" s="502"/>
      <c r="AN88" s="502"/>
      <c r="AO88" s="502"/>
      <c r="AP88" s="502"/>
    </row>
    <row r="89" spans="1:42" s="501" customFormat="1" ht="12">
      <c r="A89" s="497"/>
      <c r="B89" s="498"/>
      <c r="C89" s="498"/>
      <c r="D89" s="498"/>
      <c r="E89" s="498"/>
      <c r="F89" s="498"/>
      <c r="G89" s="498"/>
      <c r="H89" s="499"/>
      <c r="I89" s="499"/>
      <c r="J89" s="499"/>
      <c r="K89" s="498"/>
      <c r="L89" s="498"/>
      <c r="M89" s="498"/>
      <c r="N89" s="498"/>
      <c r="O89" s="500"/>
      <c r="P89" s="500"/>
      <c r="Q89" s="500"/>
      <c r="R89" s="500"/>
      <c r="S89" s="500"/>
      <c r="T89" s="500"/>
      <c r="U89" s="500"/>
      <c r="V89" s="500"/>
      <c r="W89" s="500"/>
      <c r="X89" s="500"/>
      <c r="Y89" s="500"/>
      <c r="AB89" s="502"/>
      <c r="AF89" s="502"/>
      <c r="AJ89" s="502"/>
      <c r="AN89" s="502"/>
      <c r="AO89" s="502"/>
      <c r="AP89" s="502"/>
    </row>
    <row r="90" spans="1:42" s="501" customFormat="1" ht="12">
      <c r="A90" s="497"/>
      <c r="B90" s="498"/>
      <c r="C90" s="498"/>
      <c r="D90" s="498"/>
      <c r="E90" s="498"/>
      <c r="F90" s="498"/>
      <c r="G90" s="498"/>
      <c r="H90" s="498"/>
      <c r="I90" s="504"/>
      <c r="J90" s="498"/>
      <c r="K90" s="498"/>
      <c r="L90" s="498"/>
      <c r="M90" s="498"/>
      <c r="N90" s="498"/>
      <c r="O90" s="500"/>
      <c r="P90" s="500"/>
      <c r="Q90" s="500"/>
      <c r="R90" s="500"/>
      <c r="S90" s="500"/>
      <c r="T90" s="500"/>
      <c r="U90" s="500"/>
      <c r="V90" s="500"/>
      <c r="W90" s="500"/>
      <c r="X90" s="500"/>
      <c r="Y90" s="500"/>
      <c r="AB90" s="502"/>
      <c r="AF90" s="502"/>
      <c r="AJ90" s="502"/>
      <c r="AN90" s="502"/>
      <c r="AO90" s="502"/>
      <c r="AP90" s="502"/>
    </row>
    <row r="91" spans="1:42" s="501" customFormat="1" ht="12">
      <c r="A91" s="497"/>
      <c r="B91" s="498"/>
      <c r="C91" s="498"/>
      <c r="D91" s="498"/>
      <c r="E91" s="498"/>
      <c r="F91" s="498"/>
      <c r="G91" s="498"/>
      <c r="H91" s="498"/>
      <c r="I91" s="504"/>
      <c r="J91" s="498"/>
      <c r="K91" s="498"/>
      <c r="L91" s="498"/>
      <c r="M91" s="498"/>
      <c r="N91" s="498"/>
      <c r="O91" s="500"/>
      <c r="P91" s="500"/>
      <c r="Q91" s="500"/>
      <c r="R91" s="500"/>
      <c r="S91" s="500"/>
      <c r="T91" s="500"/>
      <c r="U91" s="500"/>
      <c r="V91" s="500"/>
      <c r="W91" s="500"/>
      <c r="X91" s="500"/>
      <c r="Y91" s="500"/>
      <c r="AB91" s="502"/>
      <c r="AF91" s="502"/>
      <c r="AJ91" s="502"/>
      <c r="AN91" s="502"/>
      <c r="AO91" s="502"/>
      <c r="AP91" s="502"/>
    </row>
    <row r="92" spans="1:42" s="501" customFormat="1" ht="12">
      <c r="A92" s="497"/>
      <c r="B92" s="498"/>
      <c r="C92" s="498"/>
      <c r="D92" s="498"/>
      <c r="E92" s="498"/>
      <c r="F92" s="498"/>
      <c r="G92" s="498"/>
      <c r="H92" s="498"/>
      <c r="I92" s="504"/>
      <c r="J92" s="498"/>
      <c r="K92" s="498"/>
      <c r="L92" s="498"/>
      <c r="M92" s="498"/>
      <c r="N92" s="498"/>
      <c r="O92" s="500"/>
      <c r="P92" s="500"/>
      <c r="Q92" s="500"/>
      <c r="R92" s="500"/>
      <c r="S92" s="500"/>
      <c r="T92" s="500"/>
      <c r="U92" s="500"/>
      <c r="V92" s="500"/>
      <c r="W92" s="500"/>
      <c r="X92" s="500"/>
      <c r="Y92" s="500"/>
      <c r="AB92" s="502"/>
      <c r="AF92" s="502"/>
      <c r="AJ92" s="502"/>
      <c r="AN92" s="502"/>
      <c r="AO92" s="502"/>
      <c r="AP92" s="502"/>
    </row>
    <row r="93" spans="1:42" s="501" customFormat="1">
      <c r="A93" s="497"/>
      <c r="B93" s="498"/>
      <c r="C93" s="498"/>
      <c r="D93" s="498"/>
      <c r="E93" s="498"/>
      <c r="F93" s="498"/>
      <c r="G93" s="498"/>
      <c r="H93" s="498"/>
      <c r="I93" s="504"/>
      <c r="J93" s="498"/>
      <c r="K93" s="498"/>
      <c r="L93" s="498"/>
      <c r="M93" s="498"/>
      <c r="N93" s="498"/>
      <c r="O93" s="500"/>
      <c r="P93" s="500"/>
      <c r="Q93" s="500"/>
      <c r="R93" s="500"/>
      <c r="S93" s="500"/>
      <c r="T93" s="500"/>
      <c r="U93" s="500"/>
      <c r="V93" s="500"/>
      <c r="W93" s="500"/>
      <c r="X93" s="500"/>
      <c r="Y93" s="500"/>
      <c r="AB93" s="502"/>
      <c r="AF93" s="502"/>
      <c r="AJ93" s="502"/>
      <c r="AN93" s="502"/>
      <c r="AO93" s="502"/>
      <c r="AP93" s="153"/>
    </row>
    <row r="94" spans="1:42" s="501" customFormat="1">
      <c r="A94" s="497"/>
      <c r="B94" s="498"/>
      <c r="C94" s="498"/>
      <c r="D94" s="498"/>
      <c r="E94" s="498"/>
      <c r="F94" s="498"/>
      <c r="G94" s="498"/>
      <c r="H94" s="498"/>
      <c r="I94" s="504"/>
      <c r="J94" s="498"/>
      <c r="K94" s="498"/>
      <c r="L94" s="498"/>
      <c r="M94" s="498"/>
      <c r="N94" s="498"/>
      <c r="O94" s="500"/>
      <c r="P94" s="500"/>
      <c r="Q94" s="500"/>
      <c r="R94" s="500"/>
      <c r="S94" s="500"/>
      <c r="T94" s="500"/>
      <c r="U94" s="500"/>
      <c r="V94" s="500"/>
      <c r="W94" s="500"/>
      <c r="X94" s="500"/>
      <c r="Y94" s="500"/>
      <c r="AB94" s="502"/>
      <c r="AF94" s="502"/>
      <c r="AJ94" s="502"/>
      <c r="AN94" s="502"/>
      <c r="AO94" s="502"/>
      <c r="AP94" s="153"/>
    </row>
    <row r="95" spans="1:42" s="501" customFormat="1">
      <c r="A95" s="497"/>
      <c r="B95" s="498"/>
      <c r="C95" s="498"/>
      <c r="D95" s="498"/>
      <c r="E95" s="498"/>
      <c r="F95" s="498"/>
      <c r="G95" s="498"/>
      <c r="H95" s="498"/>
      <c r="I95" s="504"/>
      <c r="J95" s="498"/>
      <c r="K95" s="498"/>
      <c r="L95" s="498"/>
      <c r="M95" s="498"/>
      <c r="N95" s="498"/>
      <c r="O95" s="500"/>
      <c r="P95" s="500"/>
      <c r="Q95" s="500"/>
      <c r="R95" s="500"/>
      <c r="S95" s="500"/>
      <c r="T95" s="500"/>
      <c r="U95" s="500"/>
      <c r="V95" s="500"/>
      <c r="W95" s="500"/>
      <c r="X95" s="500"/>
      <c r="Y95" s="500"/>
      <c r="AB95" s="502"/>
      <c r="AF95" s="502"/>
      <c r="AJ95" s="502"/>
      <c r="AN95" s="502"/>
      <c r="AO95" s="502"/>
      <c r="AP95" s="153"/>
    </row>
    <row r="96" spans="1:42" s="501" customFormat="1">
      <c r="A96" s="497"/>
      <c r="B96" s="498"/>
      <c r="C96" s="498"/>
      <c r="D96" s="498"/>
      <c r="E96" s="498"/>
      <c r="F96" s="498"/>
      <c r="G96" s="498"/>
      <c r="H96" s="498"/>
      <c r="I96" s="504"/>
      <c r="J96" s="498"/>
      <c r="K96" s="498"/>
      <c r="L96" s="498"/>
      <c r="M96" s="498"/>
      <c r="N96" s="498"/>
      <c r="O96" s="500"/>
      <c r="P96" s="500"/>
      <c r="Q96" s="500"/>
      <c r="R96" s="500"/>
      <c r="S96" s="500"/>
      <c r="T96" s="500"/>
      <c r="U96" s="500"/>
      <c r="V96" s="500"/>
      <c r="W96" s="500"/>
      <c r="X96" s="500"/>
      <c r="Y96" s="500"/>
      <c r="AB96" s="502"/>
      <c r="AF96" s="502"/>
      <c r="AJ96" s="502"/>
      <c r="AN96" s="502"/>
      <c r="AO96" s="502"/>
      <c r="AP96" s="153"/>
    </row>
    <row r="97" spans="1:42" s="501" customFormat="1">
      <c r="A97" s="497"/>
      <c r="B97" s="497"/>
      <c r="C97" s="497"/>
      <c r="D97" s="497"/>
      <c r="E97" s="497"/>
      <c r="F97" s="497"/>
      <c r="G97" s="497"/>
      <c r="H97" s="497"/>
      <c r="I97" s="505"/>
      <c r="J97" s="497"/>
      <c r="K97" s="497"/>
      <c r="L97" s="497"/>
      <c r="M97" s="497"/>
      <c r="N97" s="497"/>
      <c r="AB97" s="502"/>
      <c r="AF97" s="502"/>
      <c r="AJ97" s="502"/>
      <c r="AN97" s="502"/>
      <c r="AO97" s="502"/>
      <c r="AP97" s="153"/>
    </row>
    <row r="98" spans="1:42" s="501" customFormat="1">
      <c r="A98" s="497"/>
      <c r="B98" s="497"/>
      <c r="C98" s="497"/>
      <c r="D98" s="497"/>
      <c r="E98" s="497"/>
      <c r="F98" s="497"/>
      <c r="G98" s="497"/>
      <c r="H98" s="497"/>
      <c r="I98" s="505"/>
      <c r="J98" s="497"/>
      <c r="K98" s="497"/>
      <c r="L98" s="497"/>
      <c r="M98" s="497"/>
      <c r="N98" s="497"/>
      <c r="AB98" s="502"/>
      <c r="AF98" s="502"/>
      <c r="AJ98" s="502"/>
      <c r="AN98" s="502"/>
      <c r="AO98" s="502"/>
      <c r="AP98" s="153"/>
    </row>
    <row r="99" spans="1:42" s="501" customFormat="1">
      <c r="A99" s="497"/>
      <c r="B99" s="497"/>
      <c r="C99" s="497"/>
      <c r="D99" s="497"/>
      <c r="E99" s="497"/>
      <c r="F99" s="497"/>
      <c r="G99" s="497"/>
      <c r="H99" s="497"/>
      <c r="I99" s="505"/>
      <c r="J99" s="497"/>
      <c r="K99" s="497"/>
      <c r="L99" s="497"/>
      <c r="M99" s="497"/>
      <c r="N99" s="497"/>
      <c r="AB99" s="502"/>
      <c r="AF99" s="502"/>
      <c r="AJ99" s="502"/>
      <c r="AN99" s="502"/>
      <c r="AO99" s="502"/>
      <c r="AP99" s="153"/>
    </row>
    <row r="100" spans="1:42" s="501" customFormat="1">
      <c r="A100" s="497"/>
      <c r="B100" s="497"/>
      <c r="C100" s="497"/>
      <c r="D100" s="497"/>
      <c r="E100" s="497"/>
      <c r="F100" s="497"/>
      <c r="G100" s="497"/>
      <c r="H100" s="497"/>
      <c r="I100" s="505"/>
      <c r="J100" s="497"/>
      <c r="K100" s="497"/>
      <c r="L100" s="497"/>
      <c r="M100" s="497"/>
      <c r="N100" s="497"/>
      <c r="AB100" s="502"/>
      <c r="AF100" s="502"/>
      <c r="AJ100" s="502"/>
      <c r="AN100" s="502"/>
      <c r="AO100" s="502"/>
      <c r="AP100" s="153"/>
    </row>
    <row r="101" spans="1:42">
      <c r="A101" s="9"/>
      <c r="B101" s="9"/>
      <c r="C101" s="9"/>
      <c r="D101" s="9"/>
      <c r="E101" s="9"/>
      <c r="F101" s="9"/>
      <c r="G101" s="9"/>
      <c r="H101" s="9"/>
      <c r="I101" s="8"/>
      <c r="J101" s="9"/>
      <c r="K101" s="9"/>
      <c r="L101" s="9"/>
      <c r="M101" s="9"/>
      <c r="N101" s="9"/>
      <c r="AB101" s="142"/>
      <c r="AF101" s="142"/>
      <c r="AJ101" s="142"/>
      <c r="AN101" s="142"/>
      <c r="AO101" s="142"/>
      <c r="AP101" s="153"/>
    </row>
    <row r="102" spans="1:42">
      <c r="A102" s="9"/>
      <c r="B102" s="9"/>
      <c r="C102" s="9"/>
      <c r="D102" s="9"/>
      <c r="E102" s="9"/>
      <c r="F102" s="9"/>
      <c r="G102" s="9"/>
      <c r="H102" s="9"/>
      <c r="I102" s="8"/>
      <c r="J102" s="9"/>
      <c r="K102" s="9"/>
      <c r="L102" s="9"/>
      <c r="M102" s="9"/>
      <c r="N102" s="9"/>
      <c r="AB102" s="142"/>
      <c r="AF102" s="142"/>
      <c r="AJ102" s="142"/>
      <c r="AN102" s="142"/>
      <c r="AO102" s="142"/>
      <c r="AP102" s="153"/>
    </row>
    <row r="103" spans="1:42">
      <c r="A103" s="9"/>
      <c r="B103" s="9"/>
      <c r="C103" s="9"/>
      <c r="D103" s="9"/>
      <c r="E103" s="9"/>
      <c r="F103" s="9"/>
      <c r="G103" s="9"/>
      <c r="H103" s="9"/>
      <c r="I103" s="8"/>
      <c r="J103" s="9"/>
      <c r="K103" s="9"/>
      <c r="L103" s="9"/>
      <c r="M103" s="9"/>
      <c r="N103" s="9"/>
      <c r="AB103" s="142"/>
      <c r="AF103" s="142"/>
      <c r="AJ103" s="142"/>
      <c r="AN103" s="142"/>
      <c r="AO103" s="142"/>
      <c r="AP103" s="153"/>
    </row>
    <row r="104" spans="1:42">
      <c r="A104" s="9"/>
      <c r="B104" s="9"/>
      <c r="C104" s="9"/>
      <c r="D104" s="9"/>
      <c r="E104" s="9"/>
      <c r="F104" s="9"/>
      <c r="G104" s="9"/>
      <c r="H104" s="9"/>
      <c r="I104" s="8"/>
      <c r="J104" s="9"/>
      <c r="K104" s="9"/>
      <c r="L104" s="9"/>
      <c r="M104" s="9"/>
      <c r="N104" s="9"/>
      <c r="AB104" s="142"/>
      <c r="AF104" s="142"/>
      <c r="AJ104" s="142"/>
      <c r="AN104" s="142"/>
      <c r="AO104" s="142"/>
      <c r="AP104" s="153"/>
    </row>
    <row r="105" spans="1:42">
      <c r="A105" s="9"/>
      <c r="B105" s="9"/>
      <c r="C105" s="9"/>
      <c r="D105" s="9"/>
      <c r="E105" s="9"/>
      <c r="F105" s="9"/>
      <c r="G105" s="9"/>
      <c r="H105" s="9"/>
      <c r="I105" s="8"/>
      <c r="J105" s="9"/>
      <c r="K105" s="9"/>
      <c r="L105" s="9"/>
      <c r="M105" s="9"/>
      <c r="N105" s="9"/>
      <c r="AB105" s="142"/>
      <c r="AF105" s="142"/>
      <c r="AJ105" s="142"/>
      <c r="AN105" s="142"/>
      <c r="AO105" s="142"/>
      <c r="AP105" s="153"/>
    </row>
    <row r="106" spans="1:42">
      <c r="A106" s="9"/>
      <c r="B106" s="9"/>
      <c r="C106" s="9"/>
      <c r="D106" s="9"/>
      <c r="E106" s="9"/>
      <c r="F106" s="9"/>
      <c r="G106" s="9"/>
      <c r="H106" s="9"/>
      <c r="I106" s="8"/>
      <c r="J106" s="9"/>
      <c r="K106" s="9"/>
      <c r="L106" s="9"/>
      <c r="M106" s="9"/>
      <c r="N106" s="9"/>
      <c r="AB106" s="142"/>
      <c r="AF106" s="142"/>
      <c r="AJ106" s="142"/>
      <c r="AN106" s="142"/>
      <c r="AO106" s="142"/>
      <c r="AP106" s="153"/>
    </row>
    <row r="107" spans="1:42">
      <c r="A107" s="9"/>
      <c r="B107" s="9"/>
      <c r="C107" s="9"/>
      <c r="D107" s="9"/>
      <c r="E107" s="9"/>
      <c r="F107" s="9"/>
      <c r="G107" s="9"/>
      <c r="H107" s="9"/>
      <c r="I107" s="8"/>
      <c r="J107" s="9"/>
      <c r="K107" s="9"/>
      <c r="L107" s="9"/>
      <c r="M107" s="9"/>
      <c r="N107" s="9"/>
      <c r="AB107" s="142"/>
      <c r="AF107" s="142"/>
      <c r="AJ107" s="142"/>
      <c r="AN107" s="142"/>
      <c r="AO107" s="142"/>
      <c r="AP107" s="153"/>
    </row>
    <row r="108" spans="1:42">
      <c r="A108" s="9"/>
      <c r="B108" s="9"/>
      <c r="C108" s="9"/>
      <c r="D108" s="9"/>
      <c r="E108" s="9"/>
      <c r="F108" s="9"/>
      <c r="G108" s="9"/>
      <c r="H108" s="9"/>
      <c r="I108" s="8"/>
      <c r="J108" s="9"/>
      <c r="K108" s="9"/>
      <c r="L108" s="9"/>
      <c r="M108" s="9"/>
      <c r="N108" s="9"/>
      <c r="AB108" s="142"/>
      <c r="AF108" s="142"/>
      <c r="AJ108" s="142"/>
      <c r="AN108" s="142"/>
      <c r="AO108" s="142"/>
      <c r="AP108" s="153"/>
    </row>
    <row r="109" spans="1:42">
      <c r="A109" s="9"/>
      <c r="B109" s="9"/>
      <c r="C109" s="9"/>
      <c r="D109" s="9"/>
      <c r="E109" s="9"/>
      <c r="F109" s="9"/>
      <c r="G109" s="9"/>
      <c r="H109" s="9"/>
      <c r="I109" s="8"/>
      <c r="J109" s="9"/>
      <c r="K109" s="9"/>
      <c r="L109" s="9"/>
      <c r="M109" s="9"/>
      <c r="N109" s="9"/>
      <c r="AB109" s="142"/>
      <c r="AF109" s="142"/>
      <c r="AJ109" s="142"/>
      <c r="AN109" s="142"/>
      <c r="AO109" s="142"/>
      <c r="AP109" s="153"/>
    </row>
    <row r="110" spans="1:42">
      <c r="A110" s="9"/>
      <c r="F110" s="9"/>
      <c r="H110" s="9"/>
      <c r="I110" s="8"/>
      <c r="J110" s="9"/>
      <c r="K110" s="9"/>
      <c r="AB110" s="142"/>
      <c r="AF110" s="142"/>
      <c r="AJ110" s="142"/>
      <c r="AN110" s="142"/>
      <c r="AO110" s="142"/>
      <c r="AP110" s="153"/>
    </row>
    <row r="111" spans="1:42">
      <c r="F111" s="9"/>
      <c r="H111" s="9"/>
      <c r="I111" s="8"/>
      <c r="J111" s="9"/>
      <c r="K111" s="9"/>
      <c r="AB111" s="142"/>
      <c r="AF111" s="142"/>
      <c r="AJ111" s="142"/>
      <c r="AN111" s="142"/>
      <c r="AO111" s="142"/>
      <c r="AP111" s="153"/>
    </row>
    <row r="112" spans="1:42">
      <c r="F112" s="9"/>
      <c r="H112" s="9"/>
      <c r="I112" s="8"/>
      <c r="J112" s="9"/>
      <c r="K112" s="9"/>
      <c r="AB112" s="142"/>
      <c r="AF112" s="142"/>
      <c r="AJ112" s="142"/>
      <c r="AN112" s="142"/>
      <c r="AO112" s="142"/>
      <c r="AP112" s="153"/>
    </row>
    <row r="113" spans="6:42">
      <c r="F113" s="9"/>
      <c r="H113" s="9"/>
      <c r="I113" s="8"/>
      <c r="J113" s="9"/>
      <c r="K113" s="9"/>
      <c r="AB113" s="142"/>
      <c r="AF113" s="142"/>
      <c r="AJ113" s="142"/>
      <c r="AN113" s="142"/>
      <c r="AO113" s="142"/>
      <c r="AP113" s="153"/>
    </row>
    <row r="114" spans="6:42">
      <c r="F114" s="9"/>
      <c r="H114" s="9"/>
      <c r="I114" s="8"/>
      <c r="J114" s="9"/>
      <c r="K114" s="9"/>
      <c r="AB114" s="142"/>
      <c r="AF114" s="142"/>
      <c r="AJ114" s="142"/>
      <c r="AN114" s="142"/>
      <c r="AO114" s="142"/>
      <c r="AP114" s="153"/>
    </row>
    <row r="115" spans="6:42">
      <c r="F115" s="9"/>
      <c r="H115" s="9"/>
      <c r="I115" s="8"/>
      <c r="J115" s="9"/>
      <c r="K115" s="9"/>
      <c r="AB115" s="142"/>
      <c r="AF115" s="142"/>
      <c r="AJ115" s="142"/>
      <c r="AN115" s="142"/>
      <c r="AO115" s="142"/>
      <c r="AP115" s="153"/>
    </row>
    <row r="116" spans="6:42">
      <c r="F116" s="9"/>
      <c r="H116" s="9"/>
      <c r="I116" s="8"/>
      <c r="J116" s="9"/>
      <c r="K116" s="9"/>
      <c r="AB116" s="142"/>
      <c r="AF116" s="142"/>
      <c r="AJ116" s="142"/>
      <c r="AN116" s="142"/>
      <c r="AO116" s="142"/>
      <c r="AP116" s="153"/>
    </row>
    <row r="117" spans="6:42">
      <c r="F117" s="9"/>
      <c r="H117" s="9"/>
      <c r="I117" s="8"/>
      <c r="J117" s="9"/>
      <c r="K117" s="9"/>
      <c r="AB117" s="142"/>
      <c r="AF117" s="142"/>
      <c r="AJ117" s="142"/>
      <c r="AN117" s="142"/>
      <c r="AO117" s="142"/>
      <c r="AP117" s="153"/>
    </row>
    <row r="118" spans="6:42">
      <c r="F118" s="9"/>
      <c r="H118" s="9"/>
      <c r="I118" s="8"/>
      <c r="J118" s="9"/>
      <c r="K118" s="9"/>
      <c r="AB118" s="142"/>
      <c r="AF118" s="142"/>
      <c r="AJ118" s="142"/>
      <c r="AN118" s="142"/>
      <c r="AO118" s="142"/>
      <c r="AP118" s="153"/>
    </row>
    <row r="119" spans="6:42">
      <c r="F119" s="9"/>
      <c r="H119" s="9"/>
      <c r="I119" s="8"/>
      <c r="J119" s="9"/>
      <c r="K119" s="9"/>
      <c r="AB119" s="142"/>
      <c r="AF119" s="142"/>
      <c r="AJ119" s="142"/>
      <c r="AN119" s="142"/>
      <c r="AO119" s="142"/>
      <c r="AP119" s="153"/>
    </row>
    <row r="120" spans="6:42">
      <c r="F120" s="9"/>
      <c r="H120" s="9"/>
      <c r="I120" s="8"/>
      <c r="J120" s="9"/>
      <c r="K120" s="9"/>
      <c r="AP120" s="153"/>
    </row>
    <row r="121" spans="6:42">
      <c r="F121" s="9"/>
      <c r="H121" s="9"/>
      <c r="I121" s="8"/>
      <c r="J121" s="9"/>
      <c r="K121" s="9"/>
      <c r="AP121" s="153"/>
    </row>
    <row r="122" spans="6:42">
      <c r="F122" s="9"/>
      <c r="H122" s="9"/>
      <c r="I122" s="8"/>
      <c r="J122" s="9"/>
      <c r="K122" s="9"/>
      <c r="AP122" s="153"/>
    </row>
    <row r="123" spans="6:42">
      <c r="F123" s="9"/>
      <c r="H123" s="9"/>
      <c r="I123" s="8"/>
      <c r="J123" s="9"/>
      <c r="K123" s="9"/>
      <c r="AP123" s="153"/>
    </row>
    <row r="124" spans="6:42">
      <c r="F124" s="9"/>
      <c r="H124" s="9"/>
      <c r="I124" s="8"/>
      <c r="J124" s="9"/>
      <c r="K124" s="9"/>
      <c r="AP124" s="153"/>
    </row>
    <row r="125" spans="6:42">
      <c r="F125" s="9"/>
      <c r="H125" s="9"/>
      <c r="I125" s="8"/>
      <c r="J125" s="9"/>
      <c r="K125" s="9"/>
      <c r="AP125" s="153"/>
    </row>
    <row r="126" spans="6:42">
      <c r="F126" s="9"/>
      <c r="H126" s="9"/>
      <c r="I126" s="8"/>
      <c r="J126" s="9"/>
      <c r="K126" s="9"/>
      <c r="AP126" s="153"/>
    </row>
    <row r="127" spans="6:42">
      <c r="I127" s="8"/>
      <c r="J127" s="9"/>
      <c r="K127" s="9"/>
      <c r="AP127" s="153"/>
    </row>
    <row r="128" spans="6:42">
      <c r="I128" s="8"/>
      <c r="J128" s="9"/>
      <c r="K128" s="9"/>
      <c r="AP128" s="153"/>
    </row>
    <row r="129" spans="9:42">
      <c r="I129" s="8"/>
      <c r="J129" s="9"/>
      <c r="K129" s="9"/>
      <c r="AP129" s="153"/>
    </row>
    <row r="130" spans="9:42">
      <c r="I130" s="8"/>
      <c r="J130" s="9"/>
      <c r="K130" s="9"/>
      <c r="AP130" s="153"/>
    </row>
    <row r="131" spans="9:42">
      <c r="I131" s="8"/>
      <c r="J131" s="9"/>
      <c r="K131" s="9"/>
      <c r="AP131" s="153"/>
    </row>
    <row r="132" spans="9:42">
      <c r="I132" s="8"/>
      <c r="J132" s="9"/>
      <c r="K132" s="9"/>
      <c r="AP132" s="153"/>
    </row>
    <row r="133" spans="9:42">
      <c r="I133" s="8"/>
      <c r="J133" s="9"/>
      <c r="K133" s="9"/>
      <c r="AP133" s="153"/>
    </row>
    <row r="134" spans="9:42">
      <c r="I134" s="8"/>
      <c r="AP134" s="153"/>
    </row>
    <row r="135" spans="9:42">
      <c r="I135" s="8"/>
      <c r="AP135" s="153"/>
    </row>
    <row r="136" spans="9:42">
      <c r="I136" s="8"/>
      <c r="AP136" s="153"/>
    </row>
    <row r="137" spans="9:42">
      <c r="I137" s="8"/>
      <c r="AP137" s="153"/>
    </row>
    <row r="138" spans="9:42">
      <c r="I138" s="8"/>
      <c r="AP138" s="153"/>
    </row>
    <row r="139" spans="9:42">
      <c r="I139" s="8"/>
      <c r="AP139" s="153"/>
    </row>
    <row r="140" spans="9:42">
      <c r="I140" s="8"/>
      <c r="AP140" s="153"/>
    </row>
    <row r="141" spans="9:42">
      <c r="I141" s="8"/>
      <c r="AP141" s="153"/>
    </row>
    <row r="142" spans="9:42">
      <c r="I142" s="8"/>
      <c r="AP142" s="153"/>
    </row>
    <row r="143" spans="9:42">
      <c r="I143" s="8"/>
      <c r="AP143" s="153"/>
    </row>
    <row r="144" spans="9:42">
      <c r="I144" s="8"/>
      <c r="AP144" s="153"/>
    </row>
    <row r="145" spans="9:42">
      <c r="I145" s="8"/>
      <c r="AP145" s="153"/>
    </row>
    <row r="146" spans="9:42">
      <c r="I146" s="8"/>
      <c r="AP146" s="153"/>
    </row>
    <row r="147" spans="9:42">
      <c r="I147" s="8"/>
      <c r="AP147" s="153"/>
    </row>
    <row r="148" spans="9:42">
      <c r="I148" s="8"/>
      <c r="AP148" s="153"/>
    </row>
    <row r="149" spans="9:42">
      <c r="I149" s="8"/>
      <c r="AP149" s="153"/>
    </row>
    <row r="150" spans="9:42">
      <c r="I150" s="8"/>
      <c r="AP150" s="153"/>
    </row>
    <row r="151" spans="9:42">
      <c r="I151" s="8"/>
      <c r="AP151" s="153"/>
    </row>
    <row r="152" spans="9:42">
      <c r="I152" s="8"/>
      <c r="AP152" s="153"/>
    </row>
    <row r="153" spans="9:42">
      <c r="I153" s="8"/>
      <c r="AP153" s="153"/>
    </row>
    <row r="154" spans="9:42">
      <c r="I154" s="8"/>
      <c r="AP154" s="153"/>
    </row>
    <row r="155" spans="9:42">
      <c r="I155" s="8"/>
      <c r="AP155" s="153"/>
    </row>
    <row r="156" spans="9:42">
      <c r="I156" s="8"/>
      <c r="AP156" s="153"/>
    </row>
    <row r="157" spans="9:42">
      <c r="I157" s="8"/>
      <c r="AP157" s="153"/>
    </row>
  </sheetData>
  <pageMargins left="0.70866141732283505" right="0.70866141732283505" top="0.74803149606299202" bottom="0.74803149606299202" header="0.31496062992126" footer="0.31496062992126"/>
  <pageSetup paperSize="9" scale="22" orientation="landscape" horizontalDpi="1200" verticalDpi="1200" r:id="rId1"/>
  <ignoredErrors>
    <ignoredError sqref="O36:P36 Q36 O7:Q7 AP7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T18"/>
  <sheetViews>
    <sheetView showGridLines="0" tabSelected="1" zoomScaleNormal="100" zoomScaleSheetLayoutView="70" workbookViewId="0">
      <pane xSplit="1" topLeftCell="B1" activePane="topRight" state="frozen"/>
      <selection pane="topRight" activeCell="A2" sqref="A2:XFD2"/>
    </sheetView>
  </sheetViews>
  <sheetFormatPr defaultColWidth="9" defaultRowHeight="12" outlineLevelCol="1"/>
  <cols>
    <col min="1" max="1" width="35.5" style="22" customWidth="1"/>
    <col min="2" max="5" width="8.58203125" style="22" customWidth="1"/>
    <col min="6" max="9" width="8.58203125" style="22" hidden="1" customWidth="1" outlineLevel="1"/>
    <col min="10" max="10" width="8.58203125" style="22" customWidth="1" collapsed="1"/>
    <col min="11" max="14" width="8.58203125" style="22" hidden="1" customWidth="1" outlineLevel="1"/>
    <col min="15" max="15" width="8.58203125" style="22" customWidth="1" collapsed="1"/>
    <col min="16" max="19" width="8.58203125" style="22" hidden="1" customWidth="1" outlineLevel="1"/>
    <col min="20" max="20" width="8.58203125" style="22" customWidth="1" collapsed="1"/>
    <col min="21" max="40" width="8.58203125" style="22" customWidth="1"/>
    <col min="41" max="45" width="13.33203125" style="22" customWidth="1"/>
    <col min="46" max="46" width="14.33203125" style="22" customWidth="1"/>
    <col min="47" max="16384" width="9" style="22"/>
  </cols>
  <sheetData>
    <row r="1" spans="1:46" ht="28.5" customHeight="1" thickBot="1">
      <c r="A1" s="479" t="s">
        <v>749</v>
      </c>
    </row>
    <row r="2" spans="1:46" s="457" customFormat="1" ht="24" customHeight="1" thickBot="1">
      <c r="A2" s="472" t="s">
        <v>955</v>
      </c>
      <c r="B2" s="473">
        <v>2006</v>
      </c>
      <c r="C2" s="474">
        <v>2007</v>
      </c>
      <c r="D2" s="475">
        <v>2008</v>
      </c>
      <c r="E2" s="475">
        <v>2009</v>
      </c>
      <c r="F2" s="476" t="s">
        <v>72</v>
      </c>
      <c r="G2" s="477" t="s">
        <v>73</v>
      </c>
      <c r="H2" s="477" t="s">
        <v>77</v>
      </c>
      <c r="I2" s="477" t="s">
        <v>84</v>
      </c>
      <c r="J2" s="475">
        <v>2010</v>
      </c>
      <c r="K2" s="476" t="s">
        <v>85</v>
      </c>
      <c r="L2" s="477" t="s">
        <v>89</v>
      </c>
      <c r="M2" s="477" t="s">
        <v>108</v>
      </c>
      <c r="N2" s="477" t="s">
        <v>112</v>
      </c>
      <c r="O2" s="475">
        <v>2011</v>
      </c>
      <c r="P2" s="476" t="s">
        <v>119</v>
      </c>
      <c r="Q2" s="477" t="s">
        <v>123</v>
      </c>
      <c r="R2" s="477" t="s">
        <v>128</v>
      </c>
      <c r="S2" s="477" t="s">
        <v>133</v>
      </c>
      <c r="T2" s="475">
        <v>2012</v>
      </c>
      <c r="U2" s="476" t="s">
        <v>139</v>
      </c>
      <c r="V2" s="477" t="s">
        <v>142</v>
      </c>
      <c r="W2" s="477" t="s">
        <v>151</v>
      </c>
      <c r="X2" s="477" t="s">
        <v>155</v>
      </c>
      <c r="Y2" s="475">
        <v>2013</v>
      </c>
      <c r="Z2" s="476" t="s">
        <v>158</v>
      </c>
      <c r="AA2" s="477" t="s">
        <v>161</v>
      </c>
      <c r="AB2" s="477" t="s">
        <v>730</v>
      </c>
      <c r="AC2" s="478" t="s">
        <v>735</v>
      </c>
      <c r="AD2" s="475">
        <v>2014</v>
      </c>
      <c r="AE2" s="476" t="s">
        <v>737</v>
      </c>
      <c r="AF2" s="477" t="s">
        <v>743</v>
      </c>
      <c r="AG2" s="477" t="s">
        <v>746</v>
      </c>
      <c r="AH2" s="478" t="s">
        <v>759</v>
      </c>
      <c r="AI2" s="475">
        <v>2015</v>
      </c>
      <c r="AJ2" s="476" t="s">
        <v>763</v>
      </c>
      <c r="AK2" s="477" t="s">
        <v>770</v>
      </c>
      <c r="AL2" s="477" t="s">
        <v>783</v>
      </c>
      <c r="AM2" s="478" t="s">
        <v>788</v>
      </c>
      <c r="AN2" s="475">
        <v>2016</v>
      </c>
      <c r="AO2" s="558" t="s">
        <v>1079</v>
      </c>
      <c r="AP2" s="558" t="s">
        <v>1080</v>
      </c>
      <c r="AQ2" s="558" t="s">
        <v>1081</v>
      </c>
      <c r="AR2" s="558" t="s">
        <v>1082</v>
      </c>
      <c r="AS2" s="559" t="s">
        <v>1083</v>
      </c>
      <c r="AT2" s="562" t="s">
        <v>1084</v>
      </c>
    </row>
    <row r="3" spans="1:46" s="457" customFormat="1" ht="24" customHeight="1">
      <c r="A3" s="462" t="s">
        <v>956</v>
      </c>
      <c r="B3" s="458">
        <v>0.155</v>
      </c>
      <c r="C3" s="459">
        <v>0.21099999999999999</v>
      </c>
      <c r="D3" s="460">
        <v>0.317</v>
      </c>
      <c r="E3" s="459">
        <v>0.251</v>
      </c>
      <c r="F3" s="463">
        <v>0.32900000000000001</v>
      </c>
      <c r="G3" s="461">
        <v>0.29499999999999998</v>
      </c>
      <c r="H3" s="461">
        <v>0.28499999999999998</v>
      </c>
      <c r="I3" s="461">
        <v>0.191</v>
      </c>
      <c r="J3" s="460">
        <v>0.27500000000000002</v>
      </c>
      <c r="K3" s="463">
        <v>0.30870278738464518</v>
      </c>
      <c r="L3" s="461">
        <v>0.34613505621374752</v>
      </c>
      <c r="M3" s="461">
        <v>0.31878501150261895</v>
      </c>
      <c r="N3" s="461">
        <v>0.27406013939927337</v>
      </c>
      <c r="O3" s="460">
        <v>0.31073681541046316</v>
      </c>
      <c r="P3" s="463">
        <v>0.38466527099742531</v>
      </c>
      <c r="Q3" s="461">
        <v>0.3779041668709594</v>
      </c>
      <c r="R3" s="461">
        <v>0.4001250502295432</v>
      </c>
      <c r="S3" s="461">
        <v>0.32927622113037824</v>
      </c>
      <c r="T3" s="460">
        <v>0.37154971807437509</v>
      </c>
      <c r="U3" s="463">
        <v>0.3519157165072388</v>
      </c>
      <c r="V3" s="461">
        <v>0.34957890245592677</v>
      </c>
      <c r="W3" s="461">
        <v>0.3961214215056621</v>
      </c>
      <c r="X3" s="464">
        <v>0.34405245121739447</v>
      </c>
      <c r="Y3" s="460">
        <v>0.35944885852796471</v>
      </c>
      <c r="Z3" s="463">
        <v>0.38927182921261261</v>
      </c>
      <c r="AA3" s="461">
        <f>'Rach. zysków i strat-nowy układ'!N32</f>
        <v>0.40603700097370976</v>
      </c>
      <c r="AB3" s="461">
        <f>'Rach. zysków i strat-nowy układ'!O32</f>
        <v>0.37613655149611497</v>
      </c>
      <c r="AC3" s="464">
        <f>'Rach. zysków i strat-nowy układ'!P32</f>
        <v>0.33211693308476481</v>
      </c>
      <c r="AD3" s="460">
        <f>'Rach. zysków i strat-nowy układ'!Q32</f>
        <v>0.36954614772129168</v>
      </c>
      <c r="AE3" s="463">
        <f>'Rach. zysków i strat-nowy układ'!R32</f>
        <v>0.38497209102619145</v>
      </c>
      <c r="AF3" s="461">
        <f>'Rach. zysków i strat-nowy układ'!S32</f>
        <v>0.39567471245747615</v>
      </c>
      <c r="AG3" s="461">
        <f>'Rach. zysków i strat-nowy układ'!T32</f>
        <v>0.3852747525777464</v>
      </c>
      <c r="AH3" s="464">
        <f>'Rach. zysków i strat-nowy układ'!U32</f>
        <v>0.33759914172956829</v>
      </c>
      <c r="AI3" s="460">
        <f>'Rach. zysków i strat-nowy układ'!V32</f>
        <v>0.37515015779293487</v>
      </c>
      <c r="AJ3" s="463">
        <f>'Rach. zysków i strat-nowy układ'!W32</f>
        <v>0.35807952622673433</v>
      </c>
      <c r="AK3" s="461">
        <f>'Rach. zysków i strat-nowy układ'!X32</f>
        <v>0.3827418232428671</v>
      </c>
      <c r="AL3" s="461">
        <f>'Rach. zysków i strat-nowy układ'!Y32</f>
        <v>0.4007873356227491</v>
      </c>
      <c r="AM3" s="464">
        <f>'Rach. zysków i strat-nowy układ'!Z32</f>
        <v>0.35592284328034396</v>
      </c>
      <c r="AN3" s="460">
        <f>'Rach. zysków i strat-nowy układ'!AA32</f>
        <v>0.37419063084544396</v>
      </c>
      <c r="AO3" s="463">
        <f>'Rach. zysków i strat-nowy układ'!AB32</f>
        <v>0.38914008205643491</v>
      </c>
      <c r="AP3" s="463">
        <f>'Rach. zysków i strat-nowy układ'!AC32</f>
        <v>0.39017773998947319</v>
      </c>
      <c r="AQ3" s="463">
        <f>'Rach. zysków i strat-nowy układ'!AD32</f>
        <v>0.35597473754653058</v>
      </c>
      <c r="AR3" s="463">
        <f>'Rach. zysków i strat-nowy układ'!AE32</f>
        <v>0.33836073200992561</v>
      </c>
      <c r="AS3" s="460">
        <f>'Rach. zysków i strat-nowy układ'!AF32</f>
        <v>0.36800765114054906</v>
      </c>
      <c r="AT3" s="563">
        <f>'Rach. zysków i strat-nowy układ'!AM32</f>
        <v>0.37938531054179631</v>
      </c>
    </row>
    <row r="4" spans="1:46" s="457" customFormat="1" ht="24" customHeight="1">
      <c r="A4" s="462" t="s">
        <v>957</v>
      </c>
      <c r="B4" s="458">
        <v>0.11600000000000001</v>
      </c>
      <c r="C4" s="459">
        <v>0.14399999999999999</v>
      </c>
      <c r="D4" s="460">
        <v>0.246</v>
      </c>
      <c r="E4" s="459">
        <v>0.182</v>
      </c>
      <c r="F4" s="463">
        <v>0.23</v>
      </c>
      <c r="G4" s="461">
        <v>0.182</v>
      </c>
      <c r="H4" s="461">
        <v>0.188</v>
      </c>
      <c r="I4" s="461">
        <v>9.8000000000000004E-2</v>
      </c>
      <c r="J4" s="460">
        <v>0.17399999999999999</v>
      </c>
      <c r="K4" s="463">
        <v>0.18967721753120198</v>
      </c>
      <c r="L4" s="461">
        <v>0.1105688210628496</v>
      </c>
      <c r="M4" s="461" t="s">
        <v>102</v>
      </c>
      <c r="N4" s="461">
        <v>0.10608165132384817</v>
      </c>
      <c r="O4" s="460">
        <v>6.7707133573549461E-2</v>
      </c>
      <c r="P4" s="463">
        <v>0.30649285055729641</v>
      </c>
      <c r="Q4" s="461">
        <v>0.13939020375571728</v>
      </c>
      <c r="R4" s="461">
        <v>0.266952761732768</v>
      </c>
      <c r="S4" s="461">
        <v>0.1620322508446396</v>
      </c>
      <c r="T4" s="460">
        <v>0.21535338337745638</v>
      </c>
      <c r="U4" s="463">
        <v>0.13643419081993929</v>
      </c>
      <c r="V4" s="461">
        <v>0.10971771925199814</v>
      </c>
      <c r="W4" s="461">
        <v>0.26051734065642024</v>
      </c>
      <c r="X4" s="464">
        <v>0.21631129917457795</v>
      </c>
      <c r="Y4" s="460">
        <v>0.18051820848101818</v>
      </c>
      <c r="Z4" s="463">
        <v>0.13582744164810381</v>
      </c>
      <c r="AA4" s="461">
        <f>'Rach. zysków i strat-nowy układ'!N27/'Rach. zysków i strat-nowy układ'!N5</f>
        <v>7.5662981843175381E-2</v>
      </c>
      <c r="AB4" s="461">
        <f>'Rach. zysków i strat-nowy układ'!O27/'Rach. zysków i strat-nowy układ'!O5</f>
        <v>1.9920648040998381E-2</v>
      </c>
      <c r="AC4" s="464">
        <f>'Rach. zysków i strat-nowy układ'!P27/'Rach. zysków i strat-nowy układ'!P5</f>
        <v>5.5531315695532789E-3</v>
      </c>
      <c r="AD4" s="460">
        <f>'Rach. zysków i strat-nowy układ'!Q27/'Rach. zysków i strat-nowy układ'!Q5</f>
        <v>3.94742169260043E-2</v>
      </c>
      <c r="AE4" s="463">
        <f>'Rach. zysków i strat-nowy układ'!R27/'Rach. zysków i strat-nowy układ'!R5</f>
        <v>7.3336195792185463E-2</v>
      </c>
      <c r="AF4" s="461">
        <f>'Rach. zysków i strat-nowy układ'!S27/'Rach. zysków i strat-nowy układ'!S5</f>
        <v>0.12331929369836385</v>
      </c>
      <c r="AG4" s="461">
        <f>'Rach. zysków i strat-nowy układ'!T27/'Rach. zysków i strat-nowy układ'!T5</f>
        <v>0.20808315044101192</v>
      </c>
      <c r="AH4" s="464">
        <f>'Rach. zysków i strat-nowy układ'!U27/'Rach. zysków i strat-nowy układ'!U5</f>
        <v>7.111383577914876E-2</v>
      </c>
      <c r="AI4" s="460">
        <f>'Rach. zysków i strat-nowy układ'!V27/'Rach. zysków i strat-nowy układ'!V5</f>
        <v>0.11843632291560617</v>
      </c>
      <c r="AJ4" s="463">
        <f>'Rach. zysków i strat-nowy układ'!W27/'Rach. zysków i strat-nowy układ'!W5</f>
        <v>7.5507614213197988E-2</v>
      </c>
      <c r="AK4" s="461">
        <f>'Rach. zysków i strat-nowy układ'!X27/'Rach. zysków i strat-nowy układ'!X5</f>
        <v>9.4518809611527338E-2</v>
      </c>
      <c r="AL4" s="461">
        <f>'Rach. zysków i strat-nowy układ'!Y27/'Rach. zysków i strat-nowy układ'!Y5</f>
        <v>0.11299103777535824</v>
      </c>
      <c r="AM4" s="464">
        <f>'Rach. zysków i strat-nowy układ'!Z27/'Rach. zysków i strat-nowy układ'!Z5</f>
        <v>0.134827028519585</v>
      </c>
      <c r="AN4" s="460">
        <f>'Rach. zysków i strat-nowy układ'!AA27/'Rach. zysków i strat-nowy układ'!AA5</f>
        <v>0.10493535324467103</v>
      </c>
      <c r="AO4" s="463">
        <f>'Rach. zysków i strat-nowy układ'!AB27/'Rach. zysków i strat-nowy układ'!AB5</f>
        <v>0.11362304278656968</v>
      </c>
      <c r="AP4" s="463">
        <f>'Rach. zysków i strat-nowy układ'!AC27/'Rach. zysków i strat-nowy układ'!AC5</f>
        <v>0.11405320053443456</v>
      </c>
      <c r="AQ4" s="463">
        <f>'Rach. zysków i strat-nowy układ'!AD27/'Rach. zysków i strat-nowy układ'!AD5</f>
        <v>9.8247521853695272E-2</v>
      </c>
      <c r="AR4" s="463">
        <f>'Rach. zysków i strat-nowy układ'!AE27/'Rach. zysków i strat-nowy układ'!AE5</f>
        <v>6.0949131513647663E-2</v>
      </c>
      <c r="AS4" s="460">
        <f>'Rach. zysków i strat-nowy układ'!AF27/'Rach. zysków i strat-nowy układ'!AF5</f>
        <v>9.6168325092078288E-2</v>
      </c>
      <c r="AT4" s="563">
        <f>'Rach. zysków i strat-nowy układ'!AM27/'Rach. zysków i strat-nowy układ'!AM5</f>
        <v>0.12455773903405941</v>
      </c>
    </row>
    <row r="5" spans="1:46" s="145" customFormat="1" ht="24" customHeight="1">
      <c r="A5" s="465" t="s">
        <v>958</v>
      </c>
      <c r="B5" s="458">
        <v>0.158</v>
      </c>
      <c r="C5" s="459">
        <v>0.191</v>
      </c>
      <c r="D5" s="460">
        <v>0.35599999999999998</v>
      </c>
      <c r="E5" s="459">
        <v>0.29699999999999999</v>
      </c>
      <c r="F5" s="463">
        <v>0.10100000000000001</v>
      </c>
      <c r="G5" s="461">
        <v>7.0999999999999994E-2</v>
      </c>
      <c r="H5" s="461">
        <v>6.9000000000000006E-2</v>
      </c>
      <c r="I5" s="461">
        <v>3.5999999999999997E-2</v>
      </c>
      <c r="J5" s="460">
        <v>0.255</v>
      </c>
      <c r="K5" s="463">
        <v>6.2271468324674333E-2</v>
      </c>
      <c r="L5" s="461">
        <v>1.3239521157757844E-2</v>
      </c>
      <c r="M5" s="461" t="s">
        <v>102</v>
      </c>
      <c r="N5" s="461">
        <v>1.4264993041101997E-2</v>
      </c>
      <c r="O5" s="460">
        <v>2.9950184610851395E-2</v>
      </c>
      <c r="P5" s="463">
        <v>3.7273881405565285E-2</v>
      </c>
      <c r="Q5" s="461">
        <v>1.7775372865166162E-2</v>
      </c>
      <c r="R5" s="461">
        <v>3.1199624869035991E-2</v>
      </c>
      <c r="S5" s="461">
        <v>2.1869529763033944E-2</v>
      </c>
      <c r="T5" s="460">
        <v>0.10758152928832863</v>
      </c>
      <c r="U5" s="463">
        <v>1.6894118349245417E-2</v>
      </c>
      <c r="V5" s="461">
        <v>1.4437552333780404E-2</v>
      </c>
      <c r="W5" s="461">
        <v>3.1520471398527435E-2</v>
      </c>
      <c r="X5" s="464">
        <v>3.0503344649529706E-2</v>
      </c>
      <c r="Y5" s="460">
        <v>9.2569363820704936E-2</v>
      </c>
      <c r="Z5" s="463">
        <v>1.6778114005449145E-2</v>
      </c>
      <c r="AA5" s="461">
        <f>'Rach. zysków i strat-nowy układ'!N27/Bilans!AA35</f>
        <v>4.7471709233085704E-3</v>
      </c>
      <c r="AB5" s="461">
        <f>'Rach. zysków i strat-nowy układ'!O27/Bilans!AB35</f>
        <v>1.7539263205391209E-3</v>
      </c>
      <c r="AC5" s="464">
        <f>'Rach. zysków i strat-nowy układ'!P27/Bilans!AC35</f>
        <v>5.1209457655268075E-4</v>
      </c>
      <c r="AD5" s="460">
        <f>'Rach. zysków i strat-nowy układ'!Q27/Bilans!AC35</f>
        <v>1.0699118831546462E-2</v>
      </c>
      <c r="AE5" s="463">
        <f>'Rach. zysków i strat-nowy układ'!R27/Bilans!AD35</f>
        <v>6.3051655844275677E-3</v>
      </c>
      <c r="AF5" s="461">
        <f>'Rach. zysków i strat-nowy układ'!S27/Bilans!AE35</f>
        <v>1.1218857997627276E-2</v>
      </c>
      <c r="AG5" s="461">
        <f>'Rach. zysków i strat-nowy układ'!T27/Bilans!AF35</f>
        <v>1.9220838831831989E-2</v>
      </c>
      <c r="AH5" s="464">
        <f>'Rach. zysków i strat-nowy układ'!U27/Bilans!AG35</f>
        <v>7.0063910668514045E-3</v>
      </c>
      <c r="AI5" s="460">
        <f>'Rach. zysków i strat-nowy układ'!V27/Bilans!AG35</f>
        <v>4.3918294004175129E-2</v>
      </c>
      <c r="AJ5" s="463">
        <f>'Rach. zysków i strat-nowy układ'!W27/Bilans!AH35</f>
        <v>6.2950750295357192E-3</v>
      </c>
      <c r="AK5" s="461">
        <f>'Rach. zysków i strat-nowy układ'!X27/Bilans!AI35</f>
        <v>8.3716748062985218E-3</v>
      </c>
      <c r="AL5" s="461">
        <f>'Rach. zysków i strat-nowy układ'!Y27/Bilans!AJ35</f>
        <v>9.8133713549945403E-3</v>
      </c>
      <c r="AM5" s="464">
        <f>'Rach. zysków i strat-nowy układ'!Z27/Bilans!AK35</f>
        <v>1.232631187949209E-2</v>
      </c>
      <c r="AN5" s="460">
        <f>'Rach. zysków i strat-nowy układ'!AA27/Bilans!AK35</f>
        <v>3.6820258715510319E-2</v>
      </c>
      <c r="AO5" s="463">
        <f>'Rach. zysków i strat-nowy układ'!AB27/Bilans!AL35</f>
        <v>9.8500355675565938E-3</v>
      </c>
      <c r="AP5" s="463">
        <f>'Rach. zysków i strat-nowy układ'!AC27/Bilans!AM35</f>
        <v>1.0312071016747503E-2</v>
      </c>
      <c r="AQ5" s="463">
        <f>'Rach. zysków i strat-nowy układ'!AD27/Bilans!AN35</f>
        <v>8.7347448740545761E-3</v>
      </c>
      <c r="AR5" s="463">
        <f>'Rach. zysków i strat-nowy układ'!AE27/Bilans!AO35</f>
        <v>5.6636402939904901E-3</v>
      </c>
      <c r="AS5" s="460">
        <f>'Rach. zysków i strat-nowy układ'!AF27/Bilans!AO35</f>
        <v>3.4053898256232916E-2</v>
      </c>
      <c r="AT5" s="563">
        <f>'Rach. zysków i strat-nowy układ'!AM27/Bilans!AP35</f>
        <v>1.0475220832855341E-2</v>
      </c>
    </row>
    <row r="6" spans="1:46" s="145" customFormat="1" ht="24" customHeight="1">
      <c r="A6" s="465" t="s">
        <v>959</v>
      </c>
      <c r="B6" s="458" t="s">
        <v>102</v>
      </c>
      <c r="C6" s="459" t="s">
        <v>102</v>
      </c>
      <c r="D6" s="460">
        <v>11.443</v>
      </c>
      <c r="E6" s="459">
        <v>2.5009999999999999</v>
      </c>
      <c r="F6" s="463">
        <v>0.26700000000000002</v>
      </c>
      <c r="G6" s="461">
        <v>0.26200000000000001</v>
      </c>
      <c r="H6" s="461">
        <v>0.21199999999999999</v>
      </c>
      <c r="I6" s="461">
        <v>9.5000000000000001E-2</v>
      </c>
      <c r="J6" s="460">
        <v>1.5249999999999999</v>
      </c>
      <c r="K6" s="463">
        <v>0.17852586122288744</v>
      </c>
      <c r="L6" s="461">
        <v>3.8577428856174406E-2</v>
      </c>
      <c r="M6" s="461" t="s">
        <v>102</v>
      </c>
      <c r="N6" s="461">
        <v>4.1927279961049509E-2</v>
      </c>
      <c r="O6" s="460">
        <v>9.1999999999999998E-2</v>
      </c>
      <c r="P6" s="463">
        <v>0.10877317095676947</v>
      </c>
      <c r="Q6" s="461">
        <v>4.7546166174335783E-2</v>
      </c>
      <c r="R6" s="461">
        <v>7.8824364260900753E-2</v>
      </c>
      <c r="S6" s="461">
        <v>5.1825928219061103E-2</v>
      </c>
      <c r="T6" s="460">
        <v>0.31992749070239374</v>
      </c>
      <c r="U6" s="463">
        <v>3.854988705193179E-2</v>
      </c>
      <c r="V6" s="461">
        <v>3.1460520932769673E-2</v>
      </c>
      <c r="W6" s="461">
        <v>6.6607225701146078E-2</v>
      </c>
      <c r="X6" s="464">
        <v>6.122340013627673E-2</v>
      </c>
      <c r="Y6" s="460">
        <v>0.21223515288993153</v>
      </c>
      <c r="Z6" s="463">
        <v>3.2613364596168266E-2</v>
      </c>
      <c r="AA6" s="461">
        <f>'Rach. zysków i strat-nowy układ'!N27/(Bilans!AA47-'Rach. zysków i strat-nowy układ'!N27)</f>
        <v>1.4743961784008204E-2</v>
      </c>
      <c r="AB6" s="461">
        <f>'Rach. zysków i strat-nowy układ'!O27/(Bilans!AB47-'Rach. zysków i strat-nowy układ'!O27)</f>
        <v>5.3069088907238835E-3</v>
      </c>
      <c r="AC6" s="464">
        <f>'Rach. zysków i strat-nowy układ'!P27/(Bilans!AC47-'Rach. zysków i strat-nowy układ'!P27)</f>
        <v>1.5445378522098774E-3</v>
      </c>
      <c r="AD6" s="460">
        <f>'Rach. zysków i strat-nowy układ'!Q27/(Bilans!AC47-'Rach. zysków i strat-nowy układ'!Q27)</f>
        <v>3.3292737061360989E-2</v>
      </c>
      <c r="AE6" s="463">
        <f>'Rach. zysków i strat-nowy układ'!R27/(Bilans!AD47-'Rach. zysków i strat-nowy układ'!R27)</f>
        <v>1.8684840992878312E-2</v>
      </c>
      <c r="AF6" s="461">
        <f>'Rach. zysków i strat-nowy układ'!S27/(Bilans!AE47-'Rach. zysków i strat-nowy układ'!S27)</f>
        <v>3.2907179060443298E-2</v>
      </c>
      <c r="AG6" s="461">
        <f>'Rach. zysków i strat-nowy układ'!T27/(Bilans!AF47-'Rach. zysków i strat-nowy układ'!T27)</f>
        <v>5.2576510593774481E-2</v>
      </c>
      <c r="AH6" s="464">
        <f>'Rach. zysków i strat-nowy układ'!U27/(Bilans!AG47-'Rach. zysków i strat-nowy układ'!U27)</f>
        <v>1.8441055193998745E-2</v>
      </c>
      <c r="AI6" s="460">
        <f>'Rach. zysków i strat-nowy układ'!V27/(Bilans!AG47-'Rach. zysków i strat-nowy układ'!V27)</f>
        <v>0.12803327940836601</v>
      </c>
      <c r="AJ6" s="463">
        <f>'Rach. zysków i strat-nowy układ'!W27/(Bilans!AH47-'Rach. zysków i strat-nowy układ'!W27)</f>
        <v>1.7454310774736723E-2</v>
      </c>
      <c r="AK6" s="461">
        <f>'Rach. zysków i strat-nowy układ'!X27/(Bilans!AI47-'Rach. zysków i strat-nowy układ'!X27)</f>
        <v>2.1926367667866348E-2</v>
      </c>
      <c r="AL6" s="461">
        <f>'Rach. zysków i strat-nowy układ'!Y27/(Bilans!AJ47-'Rach. zysków i strat-nowy układ'!Y27)</f>
        <v>2.5065730185716849E-2</v>
      </c>
      <c r="AM6" s="464">
        <f>'Rach. zysków i strat-nowy układ'!Z27/(Bilans!AK47-'Rach. zysków i strat-nowy układ'!Z27)</f>
        <v>3.0971927726127686E-2</v>
      </c>
      <c r="AN6" s="460">
        <f>'Rach. zysków i strat-nowy układ'!AA27/(Bilans!AK47-'Rach. zysków i strat-nowy układ'!AA27)</f>
        <v>9.8584477531236128E-2</v>
      </c>
      <c r="AO6" s="463">
        <f>'Rach. zysków i strat-nowy układ'!AB27/(Bilans!AL47-'Rach. zysków i strat-nowy układ'!AB27)</f>
        <v>2.3855356028443631E-2</v>
      </c>
      <c r="AP6" s="463">
        <f>'Rach. zysków i strat-nowy układ'!AC27/(Bilans!AM47-'Rach. zysków i strat-nowy układ'!AC27)</f>
        <v>2.4616809689427963E-2</v>
      </c>
      <c r="AQ6" s="463">
        <f>'Rach. zysków i strat-nowy układ'!AD27/(Bilans!AN47-'Rach. zysków i strat-nowy układ'!AD27)</f>
        <v>2.003411513859275E-2</v>
      </c>
      <c r="AR6" s="463">
        <f>'Rach. zysków i strat-nowy układ'!AE27/(Bilans!AO47-'Rach. zysków i strat-nowy układ'!AE27)</f>
        <v>1.3144252316130978E-2</v>
      </c>
      <c r="AS6" s="460">
        <f>'Rach. zysków i strat-nowy układ'!AF27/(Bilans!AO47-'Rach. zysków i strat-nowy układ'!AF27)</f>
        <v>8.4607397328941306E-2</v>
      </c>
      <c r="AT6" s="563">
        <f>'Rach. zysków i strat-nowy układ'!AM27/(Bilans!AP47-'Rach. zysków i strat-nowy układ'!AM27)</f>
        <v>2.3166941519725995E-2</v>
      </c>
    </row>
    <row r="7" spans="1:46" s="143" customFormat="1" ht="24" customHeight="1">
      <c r="A7" s="465" t="s">
        <v>960</v>
      </c>
      <c r="B7" s="466">
        <v>0.6</v>
      </c>
      <c r="C7" s="467">
        <v>1.1000000000000001</v>
      </c>
      <c r="D7" s="468">
        <v>1.4</v>
      </c>
      <c r="E7" s="467">
        <v>1</v>
      </c>
      <c r="F7" s="469">
        <v>1.2</v>
      </c>
      <c r="G7" s="470">
        <v>0.9</v>
      </c>
      <c r="H7" s="470">
        <v>1</v>
      </c>
      <c r="I7" s="470">
        <v>0.9</v>
      </c>
      <c r="J7" s="468">
        <v>0.9</v>
      </c>
      <c r="K7" s="469">
        <v>0.99222253558666473</v>
      </c>
      <c r="L7" s="470">
        <v>1.1972812574503593</v>
      </c>
      <c r="M7" s="470">
        <v>1.1937547068795404</v>
      </c>
      <c r="N7" s="470">
        <v>1.1052998425278158</v>
      </c>
      <c r="O7" s="468">
        <v>1.1000000000000001</v>
      </c>
      <c r="P7" s="469">
        <v>1.2520302028925108</v>
      </c>
      <c r="Q7" s="470">
        <v>1.13470796163891</v>
      </c>
      <c r="R7" s="470">
        <v>1.0480052530350539</v>
      </c>
      <c r="S7" s="470">
        <v>1.0172641031890362</v>
      </c>
      <c r="T7" s="468">
        <v>1.0172641031890362</v>
      </c>
      <c r="U7" s="469">
        <v>1.1953668834873901</v>
      </c>
      <c r="V7" s="470">
        <v>1.1434662606816619</v>
      </c>
      <c r="W7" s="470">
        <v>1.2291320432164132</v>
      </c>
      <c r="X7" s="471">
        <v>1.2518939180227138</v>
      </c>
      <c r="Y7" s="468">
        <v>1.2518939180227138</v>
      </c>
      <c r="Z7" s="469">
        <v>1.3919076872487033</v>
      </c>
      <c r="AA7" s="470">
        <f>Bilans!AA34/Bilans!AA68</f>
        <v>1.1114925821972736</v>
      </c>
      <c r="AB7" s="470">
        <f>Bilans!AB34/Bilans!AB68</f>
        <v>0.94501659921971548</v>
      </c>
      <c r="AC7" s="471">
        <f>Bilans!AC34/Bilans!AC68</f>
        <v>0.95569502090756708</v>
      </c>
      <c r="AD7" s="468">
        <f>Bilans!AC34/Bilans!AC68</f>
        <v>0.95569502090756708</v>
      </c>
      <c r="AE7" s="469">
        <f>Bilans!AD34/Bilans!AD68</f>
        <v>0.95351583208829338</v>
      </c>
      <c r="AF7" s="470">
        <f>Bilans!AE34/Bilans!AE68</f>
        <v>1.0069261213720315</v>
      </c>
      <c r="AG7" s="470">
        <f>Bilans!AF34/Bilans!AF68</f>
        <v>0.47434112256006483</v>
      </c>
      <c r="AH7" s="471">
        <f>Bilans!AG34/Bilans!AG68</f>
        <v>0.49948621035847135</v>
      </c>
      <c r="AI7" s="468">
        <f>Bilans!AG34/Bilans!AG68</f>
        <v>0.49948621035847135</v>
      </c>
      <c r="AJ7" s="469">
        <f>Bilans!AH34/Bilans!AH68</f>
        <v>0.92874645654158483</v>
      </c>
      <c r="AK7" s="470">
        <f>Bilans!AI34/Bilans!AI68</f>
        <v>0.9143403550836332</v>
      </c>
      <c r="AL7" s="470">
        <f>Bilans!AJ34/Bilans!AJ68</f>
        <v>0.99730487345250907</v>
      </c>
      <c r="AM7" s="471">
        <f>Bilans!AK34/Bilans!AK68</f>
        <v>1.0242312289470821</v>
      </c>
      <c r="AN7" s="468">
        <f>Bilans!AK34/Bilans!AK68</f>
        <v>1.0242312289470821</v>
      </c>
      <c r="AO7" s="469">
        <f>Bilans!AL34/Bilans!AL68</f>
        <v>0.89580852038479164</v>
      </c>
      <c r="AP7" s="469">
        <f>Bilans!AM34/Bilans!AM68</f>
        <v>0.89208350653549495</v>
      </c>
      <c r="AQ7" s="469">
        <f>Bilans!AN34/Bilans!AN68</f>
        <v>0.91086116341294232</v>
      </c>
      <c r="AR7" s="469">
        <f>Bilans!AO34/Bilans!AO68</f>
        <v>1.0040863235857489</v>
      </c>
      <c r="AS7" s="468">
        <f>Bilans!AO34/Bilans!AO68</f>
        <v>1.0040863235857489</v>
      </c>
      <c r="AT7" s="564">
        <f>Bilans!AP34/Bilans!AP68</f>
        <v>1.490674318507891</v>
      </c>
    </row>
    <row r="8" spans="1:46" s="143" customFormat="1" ht="24" customHeight="1" thickBot="1">
      <c r="A8" s="480" t="s">
        <v>961</v>
      </c>
      <c r="B8" s="481">
        <v>1.177</v>
      </c>
      <c r="C8" s="482">
        <v>0.89700000000000002</v>
      </c>
      <c r="D8" s="483">
        <v>0.61299999999999999</v>
      </c>
      <c r="E8" s="482">
        <v>0.58399999999999996</v>
      </c>
      <c r="F8" s="484">
        <v>0.52300000000000002</v>
      </c>
      <c r="G8" s="485">
        <v>0.65900000000000003</v>
      </c>
      <c r="H8" s="485">
        <v>0.60299999999999998</v>
      </c>
      <c r="I8" s="485">
        <v>0.57799999999999996</v>
      </c>
      <c r="J8" s="483">
        <v>0.57799999999999996</v>
      </c>
      <c r="K8" s="484">
        <v>0.58891930091111089</v>
      </c>
      <c r="L8" s="485">
        <v>0.64356702219385198</v>
      </c>
      <c r="M8" s="485">
        <v>0.66091379189163646</v>
      </c>
      <c r="N8" s="485">
        <v>0.64550322816584982</v>
      </c>
      <c r="O8" s="483">
        <v>0.64600000000000002</v>
      </c>
      <c r="P8" s="484">
        <v>0.6200507963830475</v>
      </c>
      <c r="Q8" s="485">
        <v>0.60836960799428208</v>
      </c>
      <c r="R8" s="485">
        <v>0.57298843092335383</v>
      </c>
      <c r="S8" s="485">
        <v>0.55614999608907556</v>
      </c>
      <c r="T8" s="483">
        <v>0.55614999608907556</v>
      </c>
      <c r="U8" s="484">
        <v>0.54486547055728474</v>
      </c>
      <c r="V8" s="485">
        <v>0.52665229914601286</v>
      </c>
      <c r="W8" s="485">
        <v>0.49525051978561557</v>
      </c>
      <c r="X8" s="486">
        <v>0.47126649202023174</v>
      </c>
      <c r="Y8" s="483">
        <v>0.47126649202023174</v>
      </c>
      <c r="Z8" s="484">
        <v>0.46876671667355413</v>
      </c>
      <c r="AA8" s="485">
        <f>Bilans!AA69/Bilans!AA35</f>
        <v>0.67327892593910244</v>
      </c>
      <c r="AB8" s="485">
        <f>Bilans!AB69/Bilans!AB35</f>
        <v>0.66774740549903211</v>
      </c>
      <c r="AC8" s="486">
        <f>Bilans!AC69/Bilans!AC35</f>
        <v>0.66793699017975172</v>
      </c>
      <c r="AD8" s="483">
        <f>Bilans!AC69/Bilans!AC35</f>
        <v>0.66793699017975172</v>
      </c>
      <c r="AE8" s="484">
        <f>Bilans!AD69/Bilans!AD35</f>
        <v>0.65624665453377584</v>
      </c>
      <c r="AF8" s="485">
        <f>Bilans!AE69/Bilans!AE35</f>
        <v>0.64785681126528083</v>
      </c>
      <c r="AG8" s="485">
        <f>Bilans!AF69/Bilans!AF35</f>
        <v>0.61520071910800012</v>
      </c>
      <c r="AH8" s="486">
        <f>Bilans!AG69/Bilans!AG35</f>
        <v>0.61305921834949684</v>
      </c>
      <c r="AI8" s="483">
        <f>Bilans!AG69/Bilans!AG35</f>
        <v>0.61305921834949684</v>
      </c>
      <c r="AJ8" s="484">
        <f>Bilans!AH69/Bilans!AH35</f>
        <v>0.63304473558921559</v>
      </c>
      <c r="AK8" s="485">
        <f>Bilans!AI69/Bilans!AI35</f>
        <v>0.60981976788452963</v>
      </c>
      <c r="AL8" s="485">
        <f>Bilans!AJ69/Bilans!AJ35</f>
        <v>0.59868152930210516</v>
      </c>
      <c r="AM8" s="486">
        <f>Bilans!AK69/Bilans!AK35</f>
        <v>0.58969032755965733</v>
      </c>
      <c r="AN8" s="483">
        <f>Bilans!AK69/Bilans!AK35</f>
        <v>0.58969032755965733</v>
      </c>
      <c r="AO8" s="484">
        <f>Bilans!AL69/Bilans!AL35</f>
        <v>0.57724329660438722</v>
      </c>
      <c r="AP8" s="484">
        <f>Bilans!AM69/Bilans!AM35</f>
        <v>0.57078429578109258</v>
      </c>
      <c r="AQ8" s="484">
        <f>Bilans!AN69/Bilans!AN35</f>
        <v>0.55527171043335344</v>
      </c>
      <c r="AR8" s="484">
        <f>Bilans!AO69/Bilans!AO35</f>
        <v>0.56345294711053473</v>
      </c>
      <c r="AS8" s="483">
        <f>Bilans!AO69/Bilans!AO35</f>
        <v>0.56345294711053473</v>
      </c>
      <c r="AT8" s="565">
        <f>Bilans!AP69/Bilans!AP35</f>
        <v>0.53736233796030752</v>
      </c>
    </row>
    <row r="12" spans="1:46" s="27" customFormat="1" ht="13.5">
      <c r="A12" s="26" t="s">
        <v>131</v>
      </c>
    </row>
    <row r="13" spans="1:46" s="27" customFormat="1" ht="13.5">
      <c r="A13" s="26" t="s">
        <v>110</v>
      </c>
    </row>
    <row r="14" spans="1:46" s="27" customFormat="1" ht="13.5">
      <c r="A14" s="26" t="s">
        <v>104</v>
      </c>
      <c r="AP14" s="510"/>
      <c r="AQ14" s="510"/>
      <c r="AR14" s="510"/>
      <c r="AS14" s="510"/>
    </row>
    <row r="15" spans="1:46" s="27" customFormat="1" ht="13.5">
      <c r="A15" s="26" t="s">
        <v>105</v>
      </c>
    </row>
    <row r="16" spans="1:46" s="27" customFormat="1" ht="13.5">
      <c r="A16" s="26" t="s">
        <v>106</v>
      </c>
    </row>
    <row r="17" spans="1:1" s="27" customFormat="1" ht="13.5">
      <c r="A17" s="26" t="s">
        <v>107</v>
      </c>
    </row>
    <row r="18" spans="1:1" s="510" customFormat="1">
      <c r="A18" s="560"/>
    </row>
  </sheetData>
  <pageMargins left="0.70866141732283472" right="0.70866141732283472" top="0.74803149606299213" bottom="0.74803149606299213" header="0.31496062992125984" footer="0.31496062992125984"/>
  <pageSetup paperSize="9" scale="51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F52"/>
  <sheetViews>
    <sheetView showGridLines="0" view="pageBreakPreview" zoomScale="115" zoomScaleNormal="100" zoomScaleSheetLayoutView="115" workbookViewId="0">
      <pane xSplit="1" topLeftCell="N1" activePane="topRight" state="frozen"/>
      <selection pane="topRight" activeCell="U45" sqref="U45"/>
    </sheetView>
  </sheetViews>
  <sheetFormatPr defaultColWidth="9" defaultRowHeight="28.5" customHeight="1"/>
  <cols>
    <col min="1" max="1" width="41.58203125" style="1" customWidth="1"/>
    <col min="2" max="7" width="9" style="1"/>
    <col min="8" max="8" width="9" style="38"/>
    <col min="9" max="9" width="9" style="17"/>
    <col min="10" max="11" width="10.08203125" style="1" bestFit="1" customWidth="1"/>
    <col min="12" max="12" width="10.08203125" style="1" customWidth="1"/>
    <col min="13" max="13" width="9.25" style="1" customWidth="1"/>
    <col min="14" max="15" width="10.08203125" style="1" customWidth="1"/>
    <col min="16" max="16" width="10.08203125" style="1" bestFit="1" customWidth="1"/>
    <col min="17" max="19" width="10.08203125" style="1" customWidth="1"/>
    <col min="20" max="20" width="10.08203125" style="1" bestFit="1" customWidth="1"/>
    <col min="21" max="21" width="9.25" style="1" bestFit="1" customWidth="1"/>
    <col min="22" max="22" width="10.08203125" style="1" customWidth="1"/>
    <col min="23" max="26" width="9.25" style="1" bestFit="1" customWidth="1"/>
    <col min="27" max="27" width="10.08203125" style="1" bestFit="1" customWidth="1"/>
    <col min="28" max="31" width="9.25" style="1" bestFit="1" customWidth="1"/>
    <col min="32" max="32" width="10.08203125" style="1" bestFit="1" customWidth="1"/>
    <col min="33" max="16384" width="9" style="1"/>
  </cols>
  <sheetData>
    <row r="1" spans="1:32" ht="16.5" customHeight="1">
      <c r="A1" s="92"/>
      <c r="B1" s="91" t="s">
        <v>72</v>
      </c>
      <c r="C1" s="91" t="s">
        <v>73</v>
      </c>
      <c r="D1" s="91" t="s">
        <v>77</v>
      </c>
      <c r="E1" s="91" t="s">
        <v>84</v>
      </c>
      <c r="F1" s="29">
        <v>2010</v>
      </c>
      <c r="G1" s="91" t="s">
        <v>85</v>
      </c>
      <c r="H1" s="91" t="s">
        <v>89</v>
      </c>
      <c r="I1" s="91" t="s">
        <v>108</v>
      </c>
      <c r="J1" s="91" t="s">
        <v>112</v>
      </c>
      <c r="K1" s="29">
        <v>2011</v>
      </c>
      <c r="L1" s="91" t="s">
        <v>119</v>
      </c>
      <c r="M1" s="91" t="s">
        <v>123</v>
      </c>
      <c r="N1" s="91" t="s">
        <v>128</v>
      </c>
      <c r="O1" s="91" t="s">
        <v>133</v>
      </c>
      <c r="P1" s="29">
        <v>2012</v>
      </c>
      <c r="Q1" s="91" t="s">
        <v>139</v>
      </c>
      <c r="R1" s="91" t="s">
        <v>142</v>
      </c>
      <c r="S1" s="91" t="s">
        <v>151</v>
      </c>
      <c r="T1" s="91" t="s">
        <v>155</v>
      </c>
      <c r="U1" s="29">
        <v>2013</v>
      </c>
      <c r="V1" s="91" t="s">
        <v>158</v>
      </c>
      <c r="W1" s="91" t="s">
        <v>214</v>
      </c>
      <c r="X1" s="17"/>
      <c r="Y1" s="17"/>
      <c r="Z1" s="17"/>
      <c r="AA1" s="17"/>
      <c r="AB1" s="17"/>
      <c r="AC1" s="17"/>
      <c r="AD1" s="17"/>
    </row>
    <row r="2" spans="1:32" ht="24.75" customHeight="1">
      <c r="A2" s="28" t="s">
        <v>148</v>
      </c>
      <c r="B2" s="50">
        <v>373996</v>
      </c>
      <c r="C2" s="50">
        <v>368265</v>
      </c>
      <c r="D2" s="50">
        <v>363569</v>
      </c>
      <c r="E2" s="50">
        <f>SUM(E3:E7)</f>
        <v>376633</v>
      </c>
      <c r="F2" s="84">
        <f>SUM(F3:F7)</f>
        <v>1482463</v>
      </c>
      <c r="G2" s="50">
        <v>402779</v>
      </c>
      <c r="H2" s="50">
        <v>628405</v>
      </c>
      <c r="I2" s="50">
        <v>615512</v>
      </c>
      <c r="J2" s="50">
        <f>SUM(J3:J7)</f>
        <v>719229</v>
      </c>
      <c r="K2" s="84">
        <f>SUM(K3:K7)</f>
        <v>2365925</v>
      </c>
      <c r="L2" s="50">
        <v>669213</v>
      </c>
      <c r="M2" s="50">
        <f t="shared" ref="M2:W2" si="0">SUM(M3:M7)</f>
        <v>713845</v>
      </c>
      <c r="N2" s="50">
        <f t="shared" si="0"/>
        <v>644541</v>
      </c>
      <c r="O2" s="50">
        <f t="shared" si="0"/>
        <v>750616</v>
      </c>
      <c r="P2" s="84">
        <f t="shared" si="0"/>
        <v>2778215</v>
      </c>
      <c r="Q2" s="50">
        <f t="shared" si="0"/>
        <v>697076</v>
      </c>
      <c r="R2" s="50">
        <f t="shared" si="0"/>
        <v>735934</v>
      </c>
      <c r="S2" s="50">
        <f t="shared" si="0"/>
        <v>677310</v>
      </c>
      <c r="T2" s="50">
        <f t="shared" si="0"/>
        <v>800439</v>
      </c>
      <c r="U2" s="84">
        <f t="shared" si="0"/>
        <v>2910759</v>
      </c>
      <c r="V2" s="50">
        <f t="shared" si="0"/>
        <v>722770</v>
      </c>
      <c r="W2" s="50">
        <f t="shared" si="0"/>
        <v>0</v>
      </c>
      <c r="X2" s="17"/>
      <c r="Y2" s="17"/>
      <c r="Z2" s="17"/>
      <c r="AA2" s="17"/>
      <c r="AB2" s="17"/>
      <c r="AC2" s="17"/>
      <c r="AD2" s="17"/>
    </row>
    <row r="3" spans="1:32" ht="20.149999999999999" customHeight="1">
      <c r="A3" s="13" t="s">
        <v>213</v>
      </c>
      <c r="B3" s="52">
        <v>356538</v>
      </c>
      <c r="C3" s="52">
        <v>350534</v>
      </c>
      <c r="D3" s="52">
        <v>348438</v>
      </c>
      <c r="E3" s="52">
        <v>361409</v>
      </c>
      <c r="F3" s="90">
        <v>1416919</v>
      </c>
      <c r="G3" s="52">
        <v>388108</v>
      </c>
      <c r="H3" s="52">
        <v>385791</v>
      </c>
      <c r="I3" s="52">
        <v>405449</v>
      </c>
      <c r="J3" s="52">
        <v>415523</v>
      </c>
      <c r="K3" s="90">
        <v>1594872</v>
      </c>
      <c r="L3" s="52">
        <v>424674</v>
      </c>
      <c r="M3" s="52">
        <v>427880</v>
      </c>
      <c r="N3" s="52">
        <v>434894</v>
      </c>
      <c r="O3" s="52">
        <v>447350</v>
      </c>
      <c r="P3" s="90">
        <v>1734798</v>
      </c>
      <c r="Q3" s="52">
        <v>452009</v>
      </c>
      <c r="R3" s="52">
        <v>452429</v>
      </c>
      <c r="S3" s="52">
        <v>460839</v>
      </c>
      <c r="T3" s="52">
        <v>466417</v>
      </c>
      <c r="U3" s="90">
        <v>1831694</v>
      </c>
      <c r="V3" s="52">
        <v>468124</v>
      </c>
      <c r="W3" s="52"/>
      <c r="X3" s="12"/>
      <c r="Y3" s="12"/>
      <c r="Z3" s="86"/>
      <c r="AA3" s="14"/>
      <c r="AB3" s="14"/>
      <c r="AC3" s="14"/>
      <c r="AD3" s="14"/>
      <c r="AE3" s="11"/>
      <c r="AF3" s="11"/>
    </row>
    <row r="4" spans="1:32" ht="20.149999999999999" customHeight="1">
      <c r="A4" s="13" t="s">
        <v>212</v>
      </c>
      <c r="B4" s="52">
        <v>1072</v>
      </c>
      <c r="C4" s="89">
        <v>767</v>
      </c>
      <c r="D4" s="89">
        <v>839</v>
      </c>
      <c r="E4" s="52">
        <v>1952</v>
      </c>
      <c r="F4" s="53">
        <v>4630</v>
      </c>
      <c r="G4" s="52">
        <v>1408</v>
      </c>
      <c r="H4" s="52">
        <v>207219</v>
      </c>
      <c r="I4" s="52">
        <v>169153</v>
      </c>
      <c r="J4" s="52">
        <v>256425</v>
      </c>
      <c r="K4" s="53">
        <v>634204</v>
      </c>
      <c r="L4" s="52">
        <v>201571</v>
      </c>
      <c r="M4" s="52">
        <v>238377</v>
      </c>
      <c r="N4" s="52">
        <v>162831</v>
      </c>
      <c r="O4" s="52">
        <v>249800</v>
      </c>
      <c r="P4" s="53">
        <v>852580</v>
      </c>
      <c r="Q4" s="52">
        <v>184218</v>
      </c>
      <c r="R4" s="52">
        <v>226631</v>
      </c>
      <c r="S4" s="52">
        <v>171755</v>
      </c>
      <c r="T4" s="52">
        <v>287246</v>
      </c>
      <c r="U4" s="53">
        <v>869850</v>
      </c>
      <c r="V4" s="52">
        <v>211554</v>
      </c>
      <c r="W4" s="52"/>
      <c r="X4" s="12"/>
      <c r="Y4" s="12"/>
      <c r="Z4" s="86"/>
      <c r="AA4" s="14"/>
      <c r="AB4" s="14"/>
      <c r="AC4" s="14"/>
      <c r="AD4" s="14"/>
      <c r="AE4" s="11"/>
      <c r="AF4" s="11"/>
    </row>
    <row r="5" spans="1:32" ht="20.149999999999999" customHeight="1">
      <c r="A5" s="13" t="s">
        <v>211</v>
      </c>
      <c r="B5" s="57" t="s">
        <v>1</v>
      </c>
      <c r="C5" s="57" t="s">
        <v>1</v>
      </c>
      <c r="D5" s="57">
        <v>0</v>
      </c>
      <c r="E5" s="57">
        <v>0</v>
      </c>
      <c r="F5" s="58">
        <v>0</v>
      </c>
      <c r="G5" s="57" t="s">
        <v>1</v>
      </c>
      <c r="H5" s="52">
        <v>16219</v>
      </c>
      <c r="I5" s="52">
        <v>21985</v>
      </c>
      <c r="J5" s="52">
        <v>22885</v>
      </c>
      <c r="K5" s="53">
        <v>61089</v>
      </c>
      <c r="L5" s="52">
        <v>23329</v>
      </c>
      <c r="M5" s="52">
        <v>23551</v>
      </c>
      <c r="N5" s="52">
        <v>23799</v>
      </c>
      <c r="O5" s="52">
        <v>22980</v>
      </c>
      <c r="P5" s="53">
        <v>93660</v>
      </c>
      <c r="Q5" s="52">
        <v>24867</v>
      </c>
      <c r="R5" s="52">
        <v>24503</v>
      </c>
      <c r="S5" s="52">
        <v>22874</v>
      </c>
      <c r="T5" s="52">
        <v>25078</v>
      </c>
      <c r="U5" s="53">
        <v>97322</v>
      </c>
      <c r="V5" s="52">
        <v>24970</v>
      </c>
      <c r="W5" s="52"/>
      <c r="X5" s="12"/>
      <c r="Y5" s="12"/>
      <c r="Z5" s="86"/>
      <c r="AA5" s="14"/>
      <c r="AB5" s="14"/>
      <c r="AC5" s="14"/>
      <c r="AD5" s="14"/>
      <c r="AE5" s="11"/>
      <c r="AF5" s="11"/>
    </row>
    <row r="6" spans="1:32" ht="20.149999999999999" customHeight="1">
      <c r="A6" s="13" t="s">
        <v>210</v>
      </c>
      <c r="B6" s="52">
        <v>10792</v>
      </c>
      <c r="C6" s="52">
        <v>10372</v>
      </c>
      <c r="D6" s="88">
        <v>7284</v>
      </c>
      <c r="E6" s="88">
        <v>7259</v>
      </c>
      <c r="F6" s="87">
        <v>35707</v>
      </c>
      <c r="G6" s="52">
        <v>6474</v>
      </c>
      <c r="H6" s="52">
        <v>2685</v>
      </c>
      <c r="I6" s="52">
        <v>2720</v>
      </c>
      <c r="J6" s="52">
        <v>4668</v>
      </c>
      <c r="K6" s="87">
        <v>16546</v>
      </c>
      <c r="L6" s="52">
        <v>2720</v>
      </c>
      <c r="M6" s="52">
        <v>6192</v>
      </c>
      <c r="N6" s="52">
        <v>2595</v>
      </c>
      <c r="O6" s="52">
        <v>7263</v>
      </c>
      <c r="P6" s="87">
        <v>18770</v>
      </c>
      <c r="Q6" s="52">
        <v>13112</v>
      </c>
      <c r="R6" s="52">
        <v>11752</v>
      </c>
      <c r="S6" s="52">
        <v>7156</v>
      </c>
      <c r="T6" s="52">
        <v>9686</v>
      </c>
      <c r="U6" s="53">
        <v>41706</v>
      </c>
      <c r="V6" s="52">
        <v>7888</v>
      </c>
      <c r="W6" s="52"/>
      <c r="X6" s="86"/>
      <c r="Y6" s="86"/>
      <c r="Z6" s="86"/>
      <c r="AA6" s="14"/>
      <c r="AB6" s="14"/>
      <c r="AC6" s="14"/>
      <c r="AD6" s="14"/>
      <c r="AE6" s="11"/>
      <c r="AF6" s="11"/>
    </row>
    <row r="7" spans="1:32" s="5" customFormat="1" ht="19.5" customHeight="1">
      <c r="A7" s="13" t="s">
        <v>209</v>
      </c>
      <c r="B7" s="52">
        <v>5594</v>
      </c>
      <c r="C7" s="52">
        <v>6592</v>
      </c>
      <c r="D7" s="52">
        <v>7008</v>
      </c>
      <c r="E7" s="52">
        <v>6013</v>
      </c>
      <c r="F7" s="53">
        <v>25207</v>
      </c>
      <c r="G7" s="52">
        <v>6789</v>
      </c>
      <c r="H7" s="52">
        <v>16491</v>
      </c>
      <c r="I7" s="52">
        <v>16205</v>
      </c>
      <c r="J7" s="52">
        <v>19728</v>
      </c>
      <c r="K7" s="53">
        <v>59214</v>
      </c>
      <c r="L7" s="52">
        <v>16919</v>
      </c>
      <c r="M7" s="52">
        <v>17845</v>
      </c>
      <c r="N7" s="52">
        <v>20422</v>
      </c>
      <c r="O7" s="52">
        <v>23223</v>
      </c>
      <c r="P7" s="53">
        <v>78407</v>
      </c>
      <c r="Q7" s="52">
        <v>22870</v>
      </c>
      <c r="R7" s="52">
        <v>20619</v>
      </c>
      <c r="S7" s="52">
        <v>14686</v>
      </c>
      <c r="T7" s="52">
        <v>12012</v>
      </c>
      <c r="U7" s="53">
        <v>70187</v>
      </c>
      <c r="V7" s="52">
        <v>10234</v>
      </c>
      <c r="W7" s="52"/>
      <c r="X7" s="85"/>
      <c r="Y7" s="85"/>
      <c r="Z7" s="85"/>
      <c r="AA7" s="85"/>
      <c r="AB7" s="85"/>
      <c r="AC7" s="85"/>
      <c r="AD7" s="85"/>
      <c r="AE7" s="11"/>
      <c r="AF7" s="11"/>
    </row>
    <row r="8" spans="1:32" s="3" customFormat="1" ht="20.149999999999999" customHeight="1">
      <c r="A8" s="28" t="s">
        <v>147</v>
      </c>
      <c r="B8" s="50">
        <f t="shared" ref="B8:W8" si="1">SUM(B9:B19)</f>
        <v>-257114</v>
      </c>
      <c r="C8" s="50">
        <f t="shared" si="1"/>
        <v>-275658</v>
      </c>
      <c r="D8" s="50">
        <f t="shared" si="1"/>
        <v>-271866</v>
      </c>
      <c r="E8" s="50">
        <f t="shared" si="1"/>
        <v>-317614</v>
      </c>
      <c r="F8" s="84">
        <f t="shared" si="1"/>
        <v>-1122252</v>
      </c>
      <c r="G8" s="50">
        <f t="shared" si="1"/>
        <v>-307512</v>
      </c>
      <c r="H8" s="50">
        <f t="shared" si="1"/>
        <v>-454122</v>
      </c>
      <c r="I8" s="50">
        <f t="shared" si="1"/>
        <v>-466172</v>
      </c>
      <c r="J8" s="50">
        <f t="shared" si="1"/>
        <v>-571815</v>
      </c>
      <c r="K8" s="84">
        <f t="shared" si="1"/>
        <v>-1799621</v>
      </c>
      <c r="L8" s="50">
        <f t="shared" si="1"/>
        <v>-464565</v>
      </c>
      <c r="M8" s="50">
        <f t="shared" si="1"/>
        <v>-499652</v>
      </c>
      <c r="N8" s="50">
        <f t="shared" si="1"/>
        <v>-444926</v>
      </c>
      <c r="O8" s="50">
        <f t="shared" si="1"/>
        <v>-562519</v>
      </c>
      <c r="P8" s="84">
        <f t="shared" si="1"/>
        <v>-1971663</v>
      </c>
      <c r="Q8" s="50">
        <f t="shared" si="1"/>
        <v>-512966</v>
      </c>
      <c r="R8" s="50">
        <f t="shared" si="1"/>
        <v>-542377</v>
      </c>
      <c r="S8" s="50">
        <f t="shared" si="1"/>
        <v>-510660</v>
      </c>
      <c r="T8" s="50">
        <f t="shared" si="1"/>
        <v>-591667</v>
      </c>
      <c r="U8" s="84">
        <f t="shared" si="1"/>
        <v>-2157670</v>
      </c>
      <c r="V8" s="50">
        <f t="shared" si="1"/>
        <v>-507463</v>
      </c>
      <c r="W8" s="50">
        <f t="shared" si="1"/>
        <v>0</v>
      </c>
      <c r="X8" s="21"/>
      <c r="Y8" s="21"/>
      <c r="Z8" s="21"/>
      <c r="AA8" s="21"/>
      <c r="AB8" s="21"/>
      <c r="AC8" s="21"/>
      <c r="AD8" s="21"/>
      <c r="AE8" s="18"/>
      <c r="AF8" s="18"/>
    </row>
    <row r="9" spans="1:32" ht="20.149999999999999" customHeight="1">
      <c r="A9" s="13" t="s">
        <v>208</v>
      </c>
      <c r="B9" s="52">
        <v>-92716</v>
      </c>
      <c r="C9" s="52">
        <v>-101879</v>
      </c>
      <c r="D9" s="52">
        <v>-97544</v>
      </c>
      <c r="E9" s="52">
        <v>-99896</v>
      </c>
      <c r="F9" s="53">
        <v>-392035</v>
      </c>
      <c r="G9" s="52">
        <v>-100264</v>
      </c>
      <c r="H9" s="52">
        <v>-103627</v>
      </c>
      <c r="I9" s="52">
        <v>-101487</v>
      </c>
      <c r="J9" s="52">
        <v>-109366</v>
      </c>
      <c r="K9" s="53">
        <v>-414742</v>
      </c>
      <c r="L9" s="52">
        <v>-100146</v>
      </c>
      <c r="M9" s="52">
        <v>-97117</v>
      </c>
      <c r="N9" s="52">
        <v>-77318</v>
      </c>
      <c r="O9" s="52">
        <v>-85730</v>
      </c>
      <c r="P9" s="53">
        <v>-360311</v>
      </c>
      <c r="Q9" s="52">
        <v>-99155</v>
      </c>
      <c r="R9" s="52">
        <v>-102521</v>
      </c>
      <c r="S9" s="52">
        <v>-101174</v>
      </c>
      <c r="T9" s="52">
        <v>-104913</v>
      </c>
      <c r="U9" s="53">
        <v>-407763</v>
      </c>
      <c r="V9" s="52">
        <v>-104381</v>
      </c>
      <c r="W9" s="52"/>
    </row>
    <row r="10" spans="1:32" ht="18.75" customHeight="1">
      <c r="A10" s="13" t="s">
        <v>207</v>
      </c>
      <c r="B10" s="52">
        <v>-67477</v>
      </c>
      <c r="C10" s="52">
        <v>-67883</v>
      </c>
      <c r="D10" s="52">
        <v>-68716</v>
      </c>
      <c r="E10" s="52">
        <v>-93243</v>
      </c>
      <c r="F10" s="53">
        <v>-297319</v>
      </c>
      <c r="G10" s="52">
        <v>-72680</v>
      </c>
      <c r="H10" s="52">
        <v>-74801</v>
      </c>
      <c r="I10" s="52">
        <v>-72831</v>
      </c>
      <c r="J10" s="52">
        <v>-91706</v>
      </c>
      <c r="K10" s="53">
        <v>-312018</v>
      </c>
      <c r="L10" s="52">
        <v>-71536</v>
      </c>
      <c r="M10" s="52">
        <v>-71795</v>
      </c>
      <c r="N10" s="52">
        <v>-73661</v>
      </c>
      <c r="O10" s="52">
        <v>-95730</v>
      </c>
      <c r="P10" s="53">
        <v>-312723</v>
      </c>
      <c r="Q10" s="52">
        <v>-78990</v>
      </c>
      <c r="R10" s="52">
        <v>-81314</v>
      </c>
      <c r="S10" s="52">
        <v>-79293</v>
      </c>
      <c r="T10" s="52">
        <v>-92363</v>
      </c>
      <c r="U10" s="53">
        <v>-331960</v>
      </c>
      <c r="V10" s="52">
        <v>-75332</v>
      </c>
      <c r="W10" s="52"/>
    </row>
    <row r="11" spans="1:32" ht="24.5">
      <c r="A11" s="13" t="s">
        <v>206</v>
      </c>
      <c r="B11" s="57" t="s">
        <v>1</v>
      </c>
      <c r="C11" s="57">
        <v>0</v>
      </c>
      <c r="D11" s="57">
        <v>0</v>
      </c>
      <c r="E11" s="57">
        <v>0</v>
      </c>
      <c r="F11" s="58">
        <v>0</v>
      </c>
      <c r="G11" s="57" t="s">
        <v>1</v>
      </c>
      <c r="H11" s="52">
        <v>-75842</v>
      </c>
      <c r="I11" s="52">
        <v>-81523</v>
      </c>
      <c r="J11" s="52">
        <v>-113201</v>
      </c>
      <c r="K11" s="53">
        <v>-270567</v>
      </c>
      <c r="L11" s="52">
        <v>-78575</v>
      </c>
      <c r="M11" s="52">
        <v>-104933</v>
      </c>
      <c r="N11" s="52">
        <v>-66029</v>
      </c>
      <c r="O11" s="52">
        <v>-101953</v>
      </c>
      <c r="P11" s="53">
        <v>-351489</v>
      </c>
      <c r="Q11" s="52">
        <v>-75604</v>
      </c>
      <c r="R11" s="52">
        <v>-102947</v>
      </c>
      <c r="S11" s="52">
        <v>-87586</v>
      </c>
      <c r="T11" s="52">
        <v>-119061</v>
      </c>
      <c r="U11" s="53">
        <v>-385198</v>
      </c>
      <c r="V11" s="52">
        <v>-78751</v>
      </c>
      <c r="W11" s="52"/>
    </row>
    <row r="12" spans="1:32" ht="20.149999999999999" customHeight="1">
      <c r="A12" s="13" t="s">
        <v>205</v>
      </c>
      <c r="B12" s="52">
        <v>-15996</v>
      </c>
      <c r="C12" s="52">
        <v>-18966</v>
      </c>
      <c r="D12" s="52">
        <v>-22054</v>
      </c>
      <c r="E12" s="52">
        <v>-24174</v>
      </c>
      <c r="F12" s="53">
        <v>-81190</v>
      </c>
      <c r="G12" s="52">
        <v>-28340</v>
      </c>
      <c r="H12" s="52">
        <v>-44755</v>
      </c>
      <c r="I12" s="52">
        <v>-48254</v>
      </c>
      <c r="J12" s="52">
        <v>-53531</v>
      </c>
      <c r="K12" s="53">
        <v>-174880</v>
      </c>
      <c r="L12" s="52">
        <v>-54433</v>
      </c>
      <c r="M12" s="52">
        <v>-56684</v>
      </c>
      <c r="N12" s="52">
        <v>-60238</v>
      </c>
      <c r="O12" s="52">
        <v>-71711</v>
      </c>
      <c r="P12" s="53">
        <v>-243066</v>
      </c>
      <c r="Q12" s="52">
        <v>-60698</v>
      </c>
      <c r="R12" s="52">
        <v>-62263</v>
      </c>
      <c r="S12" s="52">
        <v>-64865</v>
      </c>
      <c r="T12" s="52">
        <v>-68590</v>
      </c>
      <c r="U12" s="53">
        <v>-256416</v>
      </c>
      <c r="V12" s="52">
        <v>-62434</v>
      </c>
      <c r="W12" s="52"/>
      <c r="X12" s="21"/>
      <c r="Y12" s="21"/>
      <c r="Z12" s="21"/>
      <c r="AA12" s="21"/>
      <c r="AB12" s="21"/>
      <c r="AC12" s="21"/>
      <c r="AD12" s="21"/>
      <c r="AE12" s="19"/>
      <c r="AF12" s="19"/>
    </row>
    <row r="13" spans="1:32" ht="20.149999999999999" customHeight="1">
      <c r="A13" s="13" t="s">
        <v>3</v>
      </c>
      <c r="B13" s="52">
        <v>-17958</v>
      </c>
      <c r="C13" s="52">
        <v>-21149</v>
      </c>
      <c r="D13" s="52">
        <v>-20828</v>
      </c>
      <c r="E13" s="52">
        <v>-28413</v>
      </c>
      <c r="F13" s="53">
        <v>-88348</v>
      </c>
      <c r="G13" s="52">
        <v>-22388</v>
      </c>
      <c r="H13" s="52">
        <v>-39391</v>
      </c>
      <c r="I13" s="52">
        <v>-35739</v>
      </c>
      <c r="J13" s="52">
        <v>-51293</v>
      </c>
      <c r="K13" s="53">
        <v>-148811</v>
      </c>
      <c r="L13" s="52">
        <v>-40597</v>
      </c>
      <c r="M13" s="52">
        <v>-40274</v>
      </c>
      <c r="N13" s="52">
        <v>-38907</v>
      </c>
      <c r="O13" s="52">
        <v>-58595</v>
      </c>
      <c r="P13" s="53">
        <v>-178373</v>
      </c>
      <c r="Q13" s="52">
        <v>-43090</v>
      </c>
      <c r="R13" s="52">
        <v>-41943</v>
      </c>
      <c r="S13" s="52">
        <v>-40377</v>
      </c>
      <c r="T13" s="52">
        <v>-53216</v>
      </c>
      <c r="U13" s="53">
        <v>-178626</v>
      </c>
      <c r="V13" s="52">
        <v>-44638</v>
      </c>
      <c r="W13" s="52"/>
    </row>
    <row r="14" spans="1:32" ht="18.75" customHeight="1">
      <c r="A14" s="13" t="s">
        <v>204</v>
      </c>
      <c r="B14" s="52">
        <v>-20445</v>
      </c>
      <c r="C14" s="52">
        <v>-20860</v>
      </c>
      <c r="D14" s="52">
        <v>-20552</v>
      </c>
      <c r="E14" s="52">
        <v>-17998</v>
      </c>
      <c r="F14" s="53">
        <v>-79855</v>
      </c>
      <c r="G14" s="52">
        <v>-20425</v>
      </c>
      <c r="H14" s="52">
        <v>-26919</v>
      </c>
      <c r="I14" s="52">
        <v>-32958</v>
      </c>
      <c r="J14" s="52">
        <v>-34433</v>
      </c>
      <c r="K14" s="53">
        <v>-114736</v>
      </c>
      <c r="L14" s="52">
        <v>-33671</v>
      </c>
      <c r="M14" s="52">
        <v>-36205</v>
      </c>
      <c r="N14" s="52">
        <v>-39448</v>
      </c>
      <c r="O14" s="52">
        <v>-40407</v>
      </c>
      <c r="P14" s="53">
        <v>-149731</v>
      </c>
      <c r="Q14" s="52">
        <v>-38004</v>
      </c>
      <c r="R14" s="52">
        <v>-39535</v>
      </c>
      <c r="S14" s="52">
        <v>-36937</v>
      </c>
      <c r="T14" s="52">
        <v>-38809</v>
      </c>
      <c r="U14" s="53">
        <v>-153285</v>
      </c>
      <c r="V14" s="52">
        <v>-40613</v>
      </c>
      <c r="W14" s="52"/>
    </row>
    <row r="15" spans="1:32" ht="17.25" customHeight="1">
      <c r="A15" s="13" t="s">
        <v>203</v>
      </c>
      <c r="B15" s="57" t="s">
        <v>1</v>
      </c>
      <c r="C15" s="57">
        <v>0</v>
      </c>
      <c r="D15" s="57">
        <v>0</v>
      </c>
      <c r="E15" s="57">
        <v>0</v>
      </c>
      <c r="F15" s="58">
        <v>0</v>
      </c>
      <c r="G15" s="57" t="s">
        <v>1</v>
      </c>
      <c r="H15" s="52">
        <v>-25769</v>
      </c>
      <c r="I15" s="52">
        <v>-30757</v>
      </c>
      <c r="J15" s="52">
        <v>-36700</v>
      </c>
      <c r="K15" s="53">
        <v>-93226</v>
      </c>
      <c r="L15" s="52">
        <v>-28040</v>
      </c>
      <c r="M15" s="52">
        <v>-24587</v>
      </c>
      <c r="N15" s="52">
        <v>-28132</v>
      </c>
      <c r="O15" s="52">
        <v>-31350</v>
      </c>
      <c r="P15" s="53">
        <v>-112107</v>
      </c>
      <c r="Q15" s="52">
        <v>-32661</v>
      </c>
      <c r="R15" s="52">
        <v>-34025</v>
      </c>
      <c r="S15" s="52">
        <v>-30554</v>
      </c>
      <c r="T15" s="52">
        <v>-36802</v>
      </c>
      <c r="U15" s="53">
        <v>-134042</v>
      </c>
      <c r="V15" s="52">
        <v>-27519</v>
      </c>
      <c r="W15" s="52"/>
    </row>
    <row r="16" spans="1:32" ht="18.75" customHeight="1">
      <c r="A16" s="13" t="s">
        <v>202</v>
      </c>
      <c r="B16" s="30" t="s">
        <v>120</v>
      </c>
      <c r="C16" s="30" t="s">
        <v>120</v>
      </c>
      <c r="D16" s="30" t="s">
        <v>120</v>
      </c>
      <c r="E16" s="30" t="s">
        <v>120</v>
      </c>
      <c r="F16" s="83" t="s">
        <v>120</v>
      </c>
      <c r="G16" s="52">
        <v>-5298</v>
      </c>
      <c r="H16" s="52">
        <v>-5699</v>
      </c>
      <c r="I16" s="52">
        <v>-5903</v>
      </c>
      <c r="J16" s="52">
        <v>-8473</v>
      </c>
      <c r="K16" s="53">
        <v>-25374</v>
      </c>
      <c r="L16" s="52">
        <v>-10535</v>
      </c>
      <c r="M16" s="52">
        <v>-11106</v>
      </c>
      <c r="N16" s="52">
        <v>-11196</v>
      </c>
      <c r="O16" s="52">
        <v>-11272</v>
      </c>
      <c r="P16" s="53">
        <v>-44110</v>
      </c>
      <c r="Q16" s="52">
        <v>-15759</v>
      </c>
      <c r="R16" s="52">
        <v>-16749</v>
      </c>
      <c r="S16" s="52">
        <v>-19229</v>
      </c>
      <c r="T16" s="52">
        <v>-26175</v>
      </c>
      <c r="U16" s="53">
        <v>-77912</v>
      </c>
      <c r="V16" s="52">
        <v>-23151</v>
      </c>
      <c r="W16" s="52"/>
    </row>
    <row r="17" spans="1:32" ht="24.75" customHeight="1">
      <c r="A17" s="13" t="s">
        <v>201</v>
      </c>
      <c r="B17" s="30" t="s">
        <v>200</v>
      </c>
      <c r="C17" s="30" t="s">
        <v>200</v>
      </c>
      <c r="D17" s="30" t="s">
        <v>200</v>
      </c>
      <c r="E17" s="30" t="s">
        <v>200</v>
      </c>
      <c r="F17" s="83" t="s">
        <v>200</v>
      </c>
      <c r="G17" s="52">
        <v>-21579</v>
      </c>
      <c r="H17" s="52">
        <v>-15150</v>
      </c>
      <c r="I17" s="52">
        <v>-15513</v>
      </c>
      <c r="J17" s="52">
        <v>-22011</v>
      </c>
      <c r="K17" s="53">
        <v>-74254</v>
      </c>
      <c r="L17" s="52">
        <v>-5918</v>
      </c>
      <c r="M17" s="52">
        <v>-8387</v>
      </c>
      <c r="N17" s="52">
        <v>-5363</v>
      </c>
      <c r="O17" s="52">
        <v>-7789</v>
      </c>
      <c r="P17" s="53">
        <v>-27457</v>
      </c>
      <c r="Q17" s="52">
        <v>-6430</v>
      </c>
      <c r="R17" s="52">
        <v>-9248</v>
      </c>
      <c r="S17" s="52">
        <v>-5312</v>
      </c>
      <c r="T17" s="52">
        <v>-7187</v>
      </c>
      <c r="U17" s="53">
        <v>-28177</v>
      </c>
      <c r="V17" s="52">
        <v>-6721</v>
      </c>
      <c r="W17" s="52"/>
    </row>
    <row r="18" spans="1:32" ht="18.75" customHeight="1">
      <c r="A18" s="13" t="s">
        <v>199</v>
      </c>
      <c r="B18" s="52">
        <v>-18233</v>
      </c>
      <c r="C18" s="52">
        <v>-13617</v>
      </c>
      <c r="D18" s="52">
        <v>-9802</v>
      </c>
      <c r="E18" s="52">
        <v>-17894</v>
      </c>
      <c r="F18" s="53">
        <v>-59546</v>
      </c>
      <c r="G18" s="52">
        <v>-14775</v>
      </c>
      <c r="H18" s="52">
        <v>-4350</v>
      </c>
      <c r="I18" s="52">
        <v>-5585</v>
      </c>
      <c r="J18" s="52">
        <v>-8838</v>
      </c>
      <c r="K18" s="53">
        <v>-33548</v>
      </c>
      <c r="L18" s="52">
        <v>-5497</v>
      </c>
      <c r="M18" s="52">
        <v>-7567</v>
      </c>
      <c r="N18" s="52">
        <v>-6985</v>
      </c>
      <c r="O18" s="52">
        <v>-16103</v>
      </c>
      <c r="P18" s="53">
        <v>-36152</v>
      </c>
      <c r="Q18" s="52">
        <v>-25923</v>
      </c>
      <c r="R18" s="52">
        <v>-16830</v>
      </c>
      <c r="S18" s="52">
        <v>-10598</v>
      </c>
      <c r="T18" s="52">
        <v>-10563</v>
      </c>
      <c r="U18" s="53">
        <v>-63914</v>
      </c>
      <c r="V18" s="52">
        <v>-10276</v>
      </c>
      <c r="W18" s="52"/>
    </row>
    <row r="19" spans="1:32" ht="18.75" customHeight="1">
      <c r="A19" s="13" t="s">
        <v>198</v>
      </c>
      <c r="B19" s="52">
        <v>-24289</v>
      </c>
      <c r="C19" s="52">
        <v>-31304</v>
      </c>
      <c r="D19" s="52">
        <v>-32370</v>
      </c>
      <c r="E19" s="52">
        <v>-35996</v>
      </c>
      <c r="F19" s="53">
        <v>-123959</v>
      </c>
      <c r="G19" s="52">
        <v>-21763</v>
      </c>
      <c r="H19" s="52">
        <v>-37819</v>
      </c>
      <c r="I19" s="52">
        <v>-35622</v>
      </c>
      <c r="J19" s="52">
        <v>-42263</v>
      </c>
      <c r="K19" s="53">
        <v>-137465</v>
      </c>
      <c r="L19" s="52">
        <v>-35617</v>
      </c>
      <c r="M19" s="52">
        <v>-40997</v>
      </c>
      <c r="N19" s="52">
        <v>-37649</v>
      </c>
      <c r="O19" s="52">
        <v>-41879</v>
      </c>
      <c r="P19" s="53">
        <v>-156144</v>
      </c>
      <c r="Q19" s="52">
        <v>-36652</v>
      </c>
      <c r="R19" s="52">
        <v>-35002</v>
      </c>
      <c r="S19" s="52">
        <v>-34735</v>
      </c>
      <c r="T19" s="52">
        <v>-33988</v>
      </c>
      <c r="U19" s="53">
        <v>-140377</v>
      </c>
      <c r="V19" s="52">
        <v>-33647</v>
      </c>
      <c r="W19" s="52"/>
    </row>
    <row r="20" spans="1:32" s="5" customFormat="1" ht="20.149999999999999" customHeight="1">
      <c r="A20" s="20" t="s">
        <v>197</v>
      </c>
      <c r="B20" s="76">
        <v>1116</v>
      </c>
      <c r="C20" s="76">
        <v>8908</v>
      </c>
      <c r="D20" s="76">
        <v>2293</v>
      </c>
      <c r="E20" s="76">
        <v>2000</v>
      </c>
      <c r="F20" s="56">
        <v>13970</v>
      </c>
      <c r="G20" s="81" t="s">
        <v>194</v>
      </c>
      <c r="H20" s="81" t="s">
        <v>194</v>
      </c>
      <c r="I20" s="81" t="s">
        <v>194</v>
      </c>
      <c r="J20" s="81" t="s">
        <v>194</v>
      </c>
      <c r="K20" s="82" t="s">
        <v>194</v>
      </c>
      <c r="L20" s="81" t="s">
        <v>194</v>
      </c>
      <c r="M20" s="81" t="s">
        <v>194</v>
      </c>
      <c r="N20" s="81" t="s">
        <v>194</v>
      </c>
      <c r="O20" s="81" t="s">
        <v>194</v>
      </c>
      <c r="P20" s="82" t="s">
        <v>194</v>
      </c>
      <c r="Q20" s="81" t="s">
        <v>194</v>
      </c>
      <c r="R20" s="81" t="s">
        <v>194</v>
      </c>
      <c r="S20" s="81" t="s">
        <v>194</v>
      </c>
      <c r="T20" s="81" t="s">
        <v>194</v>
      </c>
      <c r="U20" s="82" t="s">
        <v>194</v>
      </c>
      <c r="V20" s="81" t="s">
        <v>194</v>
      </c>
      <c r="W20" s="81" t="s">
        <v>194</v>
      </c>
      <c r="X20" s="12"/>
      <c r="Y20" s="12"/>
      <c r="Z20" s="21"/>
      <c r="AA20" s="14"/>
      <c r="AB20" s="14"/>
      <c r="AC20" s="14"/>
      <c r="AD20" s="14"/>
      <c r="AE20" s="11"/>
      <c r="AF20" s="11"/>
    </row>
    <row r="21" spans="1:32" s="5" customFormat="1" ht="20.149999999999999" customHeight="1">
      <c r="A21" s="20" t="s">
        <v>196</v>
      </c>
      <c r="B21" s="76">
        <v>-11104</v>
      </c>
      <c r="C21" s="76">
        <v>-11786</v>
      </c>
      <c r="D21" s="76">
        <v>-12481</v>
      </c>
      <c r="E21" s="76">
        <v>-13403</v>
      </c>
      <c r="F21" s="56">
        <v>-48427</v>
      </c>
      <c r="G21" s="80" t="s">
        <v>194</v>
      </c>
      <c r="H21" s="80" t="s">
        <v>194</v>
      </c>
      <c r="I21" s="80" t="s">
        <v>194</v>
      </c>
      <c r="J21" s="80" t="s">
        <v>194</v>
      </c>
      <c r="K21" s="61" t="s">
        <v>194</v>
      </c>
      <c r="L21" s="80" t="s">
        <v>194</v>
      </c>
      <c r="M21" s="80" t="s">
        <v>194</v>
      </c>
      <c r="N21" s="80" t="s">
        <v>194</v>
      </c>
      <c r="O21" s="80" t="s">
        <v>194</v>
      </c>
      <c r="P21" s="61" t="s">
        <v>194</v>
      </c>
      <c r="Q21" s="80" t="s">
        <v>194</v>
      </c>
      <c r="R21" s="80" t="s">
        <v>194</v>
      </c>
      <c r="S21" s="80" t="s">
        <v>194</v>
      </c>
      <c r="T21" s="80" t="s">
        <v>194</v>
      </c>
      <c r="U21" s="61" t="s">
        <v>194</v>
      </c>
      <c r="V21" s="80" t="s">
        <v>194</v>
      </c>
      <c r="W21" s="80" t="s">
        <v>194</v>
      </c>
    </row>
    <row r="22" spans="1:32" s="5" customFormat="1" ht="20.149999999999999" customHeight="1">
      <c r="A22" s="20" t="s">
        <v>195</v>
      </c>
      <c r="B22" s="79" t="s">
        <v>194</v>
      </c>
      <c r="C22" s="79" t="s">
        <v>194</v>
      </c>
      <c r="D22" s="79" t="s">
        <v>194</v>
      </c>
      <c r="E22" s="79" t="s">
        <v>194</v>
      </c>
      <c r="F22" s="78" t="s">
        <v>194</v>
      </c>
      <c r="G22" s="77">
        <v>732</v>
      </c>
      <c r="H22" s="76">
        <v>-1525</v>
      </c>
      <c r="I22" s="76">
        <f>-1378</f>
        <v>-1378</v>
      </c>
      <c r="J22" s="76">
        <f>-3833</f>
        <v>-3833</v>
      </c>
      <c r="K22" s="56">
        <f>-6004</f>
        <v>-6004</v>
      </c>
      <c r="L22" s="76">
        <v>-1658</v>
      </c>
      <c r="M22" s="76">
        <v>-1112</v>
      </c>
      <c r="N22" s="76">
        <v>-1956</v>
      </c>
      <c r="O22" s="76">
        <v>-12648</v>
      </c>
      <c r="P22" s="56">
        <v>-17373</v>
      </c>
      <c r="Q22" s="55">
        <v>504</v>
      </c>
      <c r="R22" s="76">
        <v>1447</v>
      </c>
      <c r="S22" s="76">
        <v>36782</v>
      </c>
      <c r="T22" s="76">
        <v>-1969</v>
      </c>
      <c r="U22" s="56">
        <v>36764</v>
      </c>
      <c r="V22" s="55">
        <v>3613</v>
      </c>
      <c r="W22" s="55"/>
    </row>
    <row r="23" spans="1:32" s="3" customFormat="1" ht="20.149999999999999" customHeight="1">
      <c r="A23" s="28" t="s">
        <v>88</v>
      </c>
      <c r="B23" s="50">
        <f>B2+B8+B20+B21</f>
        <v>106894</v>
      </c>
      <c r="C23" s="50">
        <f>C2+C8+C20+C21</f>
        <v>89729</v>
      </c>
      <c r="D23" s="50">
        <f>D2+D8+D20+D21</f>
        <v>81515</v>
      </c>
      <c r="E23" s="50">
        <f>E2+E8+E20+E21</f>
        <v>47616</v>
      </c>
      <c r="F23" s="51">
        <f>F2+F8+F20+F21</f>
        <v>325754</v>
      </c>
      <c r="G23" s="50">
        <f t="shared" ref="G23:W23" si="2">G2+G8+G22</f>
        <v>95999</v>
      </c>
      <c r="H23" s="50">
        <f t="shared" si="2"/>
        <v>172758</v>
      </c>
      <c r="I23" s="50">
        <f t="shared" si="2"/>
        <v>147962</v>
      </c>
      <c r="J23" s="50">
        <f t="shared" si="2"/>
        <v>143581</v>
      </c>
      <c r="K23" s="51">
        <f t="shared" si="2"/>
        <v>560300</v>
      </c>
      <c r="L23" s="50">
        <f t="shared" si="2"/>
        <v>202990</v>
      </c>
      <c r="M23" s="50">
        <f t="shared" si="2"/>
        <v>213081</v>
      </c>
      <c r="N23" s="50">
        <f t="shared" si="2"/>
        <v>197659</v>
      </c>
      <c r="O23" s="50">
        <f t="shared" si="2"/>
        <v>175449</v>
      </c>
      <c r="P23" s="51">
        <f t="shared" si="2"/>
        <v>789179</v>
      </c>
      <c r="Q23" s="50">
        <f t="shared" si="2"/>
        <v>184614</v>
      </c>
      <c r="R23" s="50">
        <f t="shared" si="2"/>
        <v>195004</v>
      </c>
      <c r="S23" s="50">
        <f t="shared" si="2"/>
        <v>203432</v>
      </c>
      <c r="T23" s="50">
        <f t="shared" si="2"/>
        <v>206803</v>
      </c>
      <c r="U23" s="51">
        <f t="shared" si="2"/>
        <v>789853</v>
      </c>
      <c r="V23" s="50">
        <f t="shared" si="2"/>
        <v>218920</v>
      </c>
      <c r="W23" s="50">
        <f t="shared" si="2"/>
        <v>0</v>
      </c>
    </row>
    <row r="24" spans="1:32" ht="20.149999999999999" customHeight="1">
      <c r="A24" s="75" t="s">
        <v>193</v>
      </c>
      <c r="B24" s="74">
        <v>485</v>
      </c>
      <c r="C24" s="74">
        <v>312</v>
      </c>
      <c r="D24" s="73">
        <v>5295</v>
      </c>
      <c r="E24" s="73">
        <v>1012</v>
      </c>
      <c r="F24" s="72">
        <v>1288</v>
      </c>
      <c r="G24" s="71">
        <v>1615</v>
      </c>
      <c r="H24" s="71">
        <v>7705</v>
      </c>
      <c r="I24" s="71">
        <v>4766</v>
      </c>
      <c r="J24" s="69" t="s">
        <v>189</v>
      </c>
      <c r="K24" s="70" t="s">
        <v>189</v>
      </c>
      <c r="L24" s="69" t="s">
        <v>189</v>
      </c>
      <c r="M24" s="69" t="s">
        <v>189</v>
      </c>
      <c r="N24" s="71">
        <v>57628</v>
      </c>
      <c r="O24" s="69" t="s">
        <v>189</v>
      </c>
      <c r="P24" s="70" t="s">
        <v>189</v>
      </c>
      <c r="Q24" s="69" t="s">
        <v>189</v>
      </c>
      <c r="R24" s="69" t="s">
        <v>189</v>
      </c>
      <c r="S24" s="69" t="s">
        <v>189</v>
      </c>
      <c r="T24" s="69" t="s">
        <v>189</v>
      </c>
      <c r="U24" s="70" t="s">
        <v>189</v>
      </c>
      <c r="V24" s="69" t="s">
        <v>189</v>
      </c>
      <c r="W24" s="69" t="s">
        <v>189</v>
      </c>
    </row>
    <row r="25" spans="1:32" ht="20.149999999999999" customHeight="1">
      <c r="A25" s="68" t="s">
        <v>192</v>
      </c>
      <c r="B25" s="67">
        <v>-947</v>
      </c>
      <c r="C25" s="67">
        <v>-7107</v>
      </c>
      <c r="D25" s="65">
        <v>-2488</v>
      </c>
      <c r="E25" s="65">
        <v>-1034</v>
      </c>
      <c r="F25" s="66">
        <v>-5760</v>
      </c>
      <c r="G25" s="65">
        <v>-3982</v>
      </c>
      <c r="H25" s="65">
        <v>-91068</v>
      </c>
      <c r="I25" s="65">
        <v>-222185</v>
      </c>
      <c r="J25" s="63" t="s">
        <v>189</v>
      </c>
      <c r="K25" s="64" t="s">
        <v>189</v>
      </c>
      <c r="L25" s="63" t="s">
        <v>189</v>
      </c>
      <c r="M25" s="63" t="s">
        <v>189</v>
      </c>
      <c r="N25" s="65">
        <v>-57560</v>
      </c>
      <c r="O25" s="63" t="s">
        <v>189</v>
      </c>
      <c r="P25" s="64" t="s">
        <v>189</v>
      </c>
      <c r="Q25" s="63" t="s">
        <v>189</v>
      </c>
      <c r="R25" s="63" t="s">
        <v>189</v>
      </c>
      <c r="S25" s="63" t="s">
        <v>189</v>
      </c>
      <c r="T25" s="63" t="s">
        <v>189</v>
      </c>
      <c r="U25" s="64" t="s">
        <v>189</v>
      </c>
      <c r="V25" s="63" t="s">
        <v>189</v>
      </c>
      <c r="W25" s="63" t="s">
        <v>189</v>
      </c>
    </row>
    <row r="26" spans="1:32" ht="20.149999999999999" customHeight="1">
      <c r="A26" s="20" t="s">
        <v>191</v>
      </c>
      <c r="B26" s="60" t="s">
        <v>189</v>
      </c>
      <c r="C26" s="60" t="s">
        <v>189</v>
      </c>
      <c r="D26" s="60" t="s">
        <v>189</v>
      </c>
      <c r="E26" s="60" t="s">
        <v>189</v>
      </c>
      <c r="F26" s="61" t="s">
        <v>189</v>
      </c>
      <c r="G26" s="60" t="s">
        <v>189</v>
      </c>
      <c r="H26" s="60" t="s">
        <v>189</v>
      </c>
      <c r="I26" s="60" t="s">
        <v>189</v>
      </c>
      <c r="J26" s="59">
        <v>-5696</v>
      </c>
      <c r="K26" s="56">
        <v>-15006</v>
      </c>
      <c r="L26" s="59">
        <v>12477</v>
      </c>
      <c r="M26" s="59">
        <v>-8490</v>
      </c>
      <c r="N26" s="60" t="s">
        <v>189</v>
      </c>
      <c r="O26" s="59">
        <v>5033</v>
      </c>
      <c r="P26" s="56">
        <v>14353</v>
      </c>
      <c r="Q26" s="59">
        <v>3835</v>
      </c>
      <c r="R26" s="62">
        <v>747</v>
      </c>
      <c r="S26" s="59">
        <v>7356</v>
      </c>
      <c r="T26" s="59">
        <v>4120</v>
      </c>
      <c r="U26" s="56">
        <v>16058</v>
      </c>
      <c r="V26" s="59">
        <v>1761</v>
      </c>
      <c r="W26" s="59"/>
    </row>
    <row r="27" spans="1:32" ht="20.149999999999999" customHeight="1">
      <c r="A27" s="20" t="s">
        <v>190</v>
      </c>
      <c r="B27" s="60" t="s">
        <v>189</v>
      </c>
      <c r="C27" s="60" t="s">
        <v>189</v>
      </c>
      <c r="D27" s="60" t="s">
        <v>189</v>
      </c>
      <c r="E27" s="60" t="s">
        <v>189</v>
      </c>
      <c r="F27" s="61" t="s">
        <v>189</v>
      </c>
      <c r="G27" s="60" t="s">
        <v>189</v>
      </c>
      <c r="H27" s="60" t="s">
        <v>189</v>
      </c>
      <c r="I27" s="60" t="s">
        <v>189</v>
      </c>
      <c r="J27" s="59">
        <v>-61553</v>
      </c>
      <c r="K27" s="56">
        <v>-355392</v>
      </c>
      <c r="L27" s="59">
        <v>30071</v>
      </c>
      <c r="M27" s="59">
        <v>-92458</v>
      </c>
      <c r="N27" s="60" t="s">
        <v>189</v>
      </c>
      <c r="O27" s="59">
        <v>-43130</v>
      </c>
      <c r="P27" s="56">
        <v>-110782</v>
      </c>
      <c r="Q27" s="59">
        <v>-80075</v>
      </c>
      <c r="R27" s="59">
        <v>-102398</v>
      </c>
      <c r="S27" s="59">
        <v>-10708</v>
      </c>
      <c r="T27" s="59">
        <v>-22833</v>
      </c>
      <c r="U27" s="56">
        <v>-216014</v>
      </c>
      <c r="V27" s="59">
        <v>-108758</v>
      </c>
      <c r="W27" s="59"/>
    </row>
    <row r="28" spans="1:32" ht="26.25" customHeight="1">
      <c r="A28" s="20" t="s">
        <v>146</v>
      </c>
      <c r="B28" s="57">
        <v>0</v>
      </c>
      <c r="C28" s="57">
        <v>0</v>
      </c>
      <c r="D28" s="57">
        <v>0</v>
      </c>
      <c r="E28" s="57">
        <v>0</v>
      </c>
      <c r="F28" s="58">
        <v>0</v>
      </c>
      <c r="G28" s="57">
        <v>0</v>
      </c>
      <c r="H28" s="55">
        <v>569</v>
      </c>
      <c r="I28" s="55">
        <v>918</v>
      </c>
      <c r="J28" s="55">
        <v>677</v>
      </c>
      <c r="K28" s="56">
        <v>2164</v>
      </c>
      <c r="L28" s="55">
        <v>730</v>
      </c>
      <c r="M28" s="55">
        <v>771</v>
      </c>
      <c r="N28" s="55">
        <v>543</v>
      </c>
      <c r="O28" s="55">
        <v>853</v>
      </c>
      <c r="P28" s="56">
        <v>2897</v>
      </c>
      <c r="Q28" s="55">
        <v>762</v>
      </c>
      <c r="R28" s="55">
        <v>818</v>
      </c>
      <c r="S28" s="55">
        <v>749</v>
      </c>
      <c r="T28" s="55">
        <v>595</v>
      </c>
      <c r="U28" s="56">
        <v>2924</v>
      </c>
      <c r="V28" s="55">
        <v>633</v>
      </c>
      <c r="W28" s="55"/>
    </row>
    <row r="29" spans="1:32" s="3" customFormat="1" ht="20.149999999999999" customHeight="1">
      <c r="A29" s="28" t="s">
        <v>145</v>
      </c>
      <c r="B29" s="50">
        <f t="shared" ref="B29:G29" si="3">B23+B24+B25</f>
        <v>106432</v>
      </c>
      <c r="C29" s="50">
        <f t="shared" si="3"/>
        <v>82934</v>
      </c>
      <c r="D29" s="50">
        <f t="shared" si="3"/>
        <v>84322</v>
      </c>
      <c r="E29" s="50">
        <f t="shared" si="3"/>
        <v>47594</v>
      </c>
      <c r="F29" s="51">
        <f t="shared" si="3"/>
        <v>321282</v>
      </c>
      <c r="G29" s="50">
        <f t="shared" si="3"/>
        <v>93632</v>
      </c>
      <c r="H29" s="50">
        <f>H23+H24+H25+H28</f>
        <v>89964</v>
      </c>
      <c r="I29" s="50">
        <f>I23+I24+I25+I28</f>
        <v>-68539</v>
      </c>
      <c r="J29" s="50">
        <f>J23+J26+J27+J28</f>
        <v>77009</v>
      </c>
      <c r="K29" s="51">
        <f>K23+K26+K27+K28</f>
        <v>192066</v>
      </c>
      <c r="L29" s="50">
        <f>L23+L26+L27+L28</f>
        <v>246268</v>
      </c>
      <c r="M29" s="50">
        <f>M23+M26+M27+M28</f>
        <v>112904</v>
      </c>
      <c r="N29" s="50">
        <f>N23+N24+N25+N28</f>
        <v>198270</v>
      </c>
      <c r="O29" s="50">
        <f t="shared" ref="O29:W29" si="4">O23+O26+O27+O28</f>
        <v>138205</v>
      </c>
      <c r="P29" s="51">
        <f t="shared" si="4"/>
        <v>695647</v>
      </c>
      <c r="Q29" s="50">
        <f t="shared" si="4"/>
        <v>109136</v>
      </c>
      <c r="R29" s="50">
        <f t="shared" si="4"/>
        <v>94171</v>
      </c>
      <c r="S29" s="50">
        <f t="shared" si="4"/>
        <v>200829</v>
      </c>
      <c r="T29" s="50">
        <f t="shared" si="4"/>
        <v>188685</v>
      </c>
      <c r="U29" s="51">
        <f t="shared" si="4"/>
        <v>592821</v>
      </c>
      <c r="V29" s="50">
        <f t="shared" si="4"/>
        <v>112556</v>
      </c>
      <c r="W29" s="50">
        <f t="shared" si="4"/>
        <v>0</v>
      </c>
    </row>
    <row r="30" spans="1:32" ht="20.149999999999999" customHeight="1">
      <c r="A30" s="13" t="s">
        <v>4</v>
      </c>
      <c r="B30" s="52">
        <v>-20298</v>
      </c>
      <c r="C30" s="52">
        <v>-15940</v>
      </c>
      <c r="D30" s="52">
        <v>-15929</v>
      </c>
      <c r="E30" s="52">
        <v>-10645</v>
      </c>
      <c r="F30" s="53">
        <v>-62812</v>
      </c>
      <c r="G30" s="52">
        <v>-17234</v>
      </c>
      <c r="H30" s="52">
        <v>-20482</v>
      </c>
      <c r="I30" s="52">
        <v>6552</v>
      </c>
      <c r="J30" s="54">
        <v>-712</v>
      </c>
      <c r="K30" s="53">
        <v>-31876</v>
      </c>
      <c r="L30" s="52">
        <v>-41159</v>
      </c>
      <c r="M30" s="52">
        <v>-13401</v>
      </c>
      <c r="N30" s="52">
        <v>-26208</v>
      </c>
      <c r="O30" s="52">
        <v>-16581</v>
      </c>
      <c r="P30" s="53">
        <v>-97349</v>
      </c>
      <c r="Q30" s="52">
        <v>-14031</v>
      </c>
      <c r="R30" s="52">
        <v>-13426</v>
      </c>
      <c r="S30" s="52">
        <v>-24378</v>
      </c>
      <c r="T30" s="52">
        <v>-15541</v>
      </c>
      <c r="U30" s="53">
        <v>-67376</v>
      </c>
      <c r="V30" s="52">
        <v>-14384</v>
      </c>
      <c r="W30" s="52"/>
    </row>
    <row r="31" spans="1:32" s="3" customFormat="1" ht="20.149999999999999" customHeight="1">
      <c r="A31" s="28" t="s">
        <v>144</v>
      </c>
      <c r="B31" s="50">
        <f t="shared" ref="B31:W31" si="5">B29+B30</f>
        <v>86134</v>
      </c>
      <c r="C31" s="50">
        <f t="shared" si="5"/>
        <v>66994</v>
      </c>
      <c r="D31" s="50">
        <f t="shared" si="5"/>
        <v>68393</v>
      </c>
      <c r="E31" s="50">
        <f t="shared" si="5"/>
        <v>36949</v>
      </c>
      <c r="F31" s="51">
        <f t="shared" si="5"/>
        <v>258470</v>
      </c>
      <c r="G31" s="50">
        <f t="shared" si="5"/>
        <v>76398</v>
      </c>
      <c r="H31" s="50">
        <f t="shared" si="5"/>
        <v>69482</v>
      </c>
      <c r="I31" s="50">
        <f t="shared" si="5"/>
        <v>-61987</v>
      </c>
      <c r="J31" s="50">
        <f t="shared" si="5"/>
        <v>76297</v>
      </c>
      <c r="K31" s="51">
        <f t="shared" si="5"/>
        <v>160190</v>
      </c>
      <c r="L31" s="50">
        <f t="shared" si="5"/>
        <v>205109</v>
      </c>
      <c r="M31" s="50">
        <f t="shared" si="5"/>
        <v>99503</v>
      </c>
      <c r="N31" s="50">
        <f t="shared" si="5"/>
        <v>172062</v>
      </c>
      <c r="O31" s="50">
        <f t="shared" si="5"/>
        <v>121624</v>
      </c>
      <c r="P31" s="51">
        <f t="shared" si="5"/>
        <v>598298</v>
      </c>
      <c r="Q31" s="50">
        <f t="shared" si="5"/>
        <v>95105</v>
      </c>
      <c r="R31" s="50">
        <f t="shared" si="5"/>
        <v>80745</v>
      </c>
      <c r="S31" s="50">
        <f t="shared" si="5"/>
        <v>176451</v>
      </c>
      <c r="T31" s="50">
        <f t="shared" si="5"/>
        <v>173144</v>
      </c>
      <c r="U31" s="51">
        <f t="shared" si="5"/>
        <v>525445</v>
      </c>
      <c r="V31" s="50">
        <f t="shared" si="5"/>
        <v>98172</v>
      </c>
      <c r="W31" s="50">
        <f t="shared" si="5"/>
        <v>0</v>
      </c>
    </row>
    <row r="32" spans="1:32" ht="20.149999999999999" customHeight="1">
      <c r="A32" s="39"/>
      <c r="B32" s="6"/>
      <c r="C32" s="6"/>
      <c r="D32" s="6"/>
      <c r="E32" s="6"/>
      <c r="F32" s="49"/>
      <c r="G32" s="9"/>
      <c r="H32" s="6"/>
      <c r="I32" s="11"/>
      <c r="J32" s="11"/>
      <c r="K32" s="49"/>
      <c r="L32" s="11"/>
      <c r="M32" s="11"/>
      <c r="N32" s="11"/>
      <c r="O32" s="11"/>
      <c r="P32" s="49"/>
      <c r="Q32" s="11"/>
      <c r="R32" s="11"/>
      <c r="S32" s="11"/>
      <c r="T32" s="11"/>
      <c r="U32" s="49"/>
      <c r="V32" s="11"/>
      <c r="W32" s="11"/>
    </row>
    <row r="33" spans="1:23" s="3" customFormat="1" ht="20.149999999999999" customHeight="1">
      <c r="A33" s="48" t="s">
        <v>0</v>
      </c>
      <c r="B33" s="45">
        <v>122890</v>
      </c>
      <c r="C33" s="45">
        <f t="shared" ref="C33:W33" si="6">C23-C12</f>
        <v>108695</v>
      </c>
      <c r="D33" s="45">
        <f t="shared" si="6"/>
        <v>103569</v>
      </c>
      <c r="E33" s="45">
        <f t="shared" si="6"/>
        <v>71790</v>
      </c>
      <c r="F33" s="47">
        <f t="shared" si="6"/>
        <v>406944</v>
      </c>
      <c r="G33" s="45">
        <f t="shared" si="6"/>
        <v>124339</v>
      </c>
      <c r="H33" s="45">
        <f t="shared" si="6"/>
        <v>217513</v>
      </c>
      <c r="I33" s="45">
        <f t="shared" si="6"/>
        <v>196216</v>
      </c>
      <c r="J33" s="45">
        <f t="shared" si="6"/>
        <v>197112</v>
      </c>
      <c r="K33" s="47">
        <f t="shared" si="6"/>
        <v>735180</v>
      </c>
      <c r="L33" s="45">
        <f t="shared" si="6"/>
        <v>257423</v>
      </c>
      <c r="M33" s="45">
        <f t="shared" si="6"/>
        <v>269765</v>
      </c>
      <c r="N33" s="45">
        <f t="shared" si="6"/>
        <v>257897</v>
      </c>
      <c r="O33" s="45">
        <f t="shared" si="6"/>
        <v>247160</v>
      </c>
      <c r="P33" s="46">
        <f t="shared" si="6"/>
        <v>1032245</v>
      </c>
      <c r="Q33" s="45">
        <f t="shared" si="6"/>
        <v>245312</v>
      </c>
      <c r="R33" s="45">
        <f t="shared" si="6"/>
        <v>257267</v>
      </c>
      <c r="S33" s="45">
        <f t="shared" si="6"/>
        <v>268297</v>
      </c>
      <c r="T33" s="45">
        <f t="shared" si="6"/>
        <v>275393</v>
      </c>
      <c r="U33" s="46">
        <f t="shared" si="6"/>
        <v>1046269</v>
      </c>
      <c r="V33" s="45">
        <f t="shared" si="6"/>
        <v>281354</v>
      </c>
      <c r="W33" s="45">
        <f t="shared" si="6"/>
        <v>0</v>
      </c>
    </row>
    <row r="34" spans="1:23" s="3" customFormat="1" ht="20.149999999999999" customHeight="1">
      <c r="A34" s="44" t="s">
        <v>5</v>
      </c>
      <c r="B34" s="41">
        <v>0.32858640199360423</v>
      </c>
      <c r="C34" s="41">
        <f>C33/C2</f>
        <v>0.29515430464475312</v>
      </c>
      <c r="D34" s="41">
        <f>D33/D2</f>
        <v>0.28486752170839647</v>
      </c>
      <c r="E34" s="41">
        <f>E33/E2</f>
        <v>0.19060995717316326</v>
      </c>
      <c r="F34" s="42">
        <f>F33/F2</f>
        <v>0.27450533335401961</v>
      </c>
      <c r="G34" s="43">
        <v>0.309</v>
      </c>
      <c r="H34" s="41">
        <f t="shared" ref="H34:W34" si="7">H33/H2</f>
        <v>0.34613505621374752</v>
      </c>
      <c r="I34" s="41">
        <f t="shared" si="7"/>
        <v>0.31878501150261895</v>
      </c>
      <c r="J34" s="41">
        <f t="shared" si="7"/>
        <v>0.27406013939927337</v>
      </c>
      <c r="K34" s="42">
        <f t="shared" si="7"/>
        <v>0.31073681541046316</v>
      </c>
      <c r="L34" s="41">
        <f t="shared" si="7"/>
        <v>0.38466527099742531</v>
      </c>
      <c r="M34" s="41">
        <f t="shared" si="7"/>
        <v>0.3779041668709594</v>
      </c>
      <c r="N34" s="41">
        <f t="shared" si="7"/>
        <v>0.4001250502295432</v>
      </c>
      <c r="O34" s="41">
        <f t="shared" si="7"/>
        <v>0.32927622113037824</v>
      </c>
      <c r="P34" s="42">
        <f t="shared" si="7"/>
        <v>0.37154971807437509</v>
      </c>
      <c r="Q34" s="41">
        <f t="shared" si="7"/>
        <v>0.3519157165072388</v>
      </c>
      <c r="R34" s="41">
        <f t="shared" si="7"/>
        <v>0.34957890245592677</v>
      </c>
      <c r="S34" s="41">
        <f t="shared" si="7"/>
        <v>0.3961214215056621</v>
      </c>
      <c r="T34" s="41">
        <f t="shared" si="7"/>
        <v>0.34405245121739447</v>
      </c>
      <c r="U34" s="42">
        <f t="shared" si="7"/>
        <v>0.35944885852796471</v>
      </c>
      <c r="V34" s="41">
        <f t="shared" si="7"/>
        <v>0.38927182921261261</v>
      </c>
      <c r="W34" s="41" t="e">
        <f t="shared" si="7"/>
        <v>#DIV/0!</v>
      </c>
    </row>
    <row r="35" spans="1:23" ht="28.5" customHeight="1">
      <c r="A35" s="5"/>
      <c r="B35" s="5"/>
      <c r="C35" s="5"/>
      <c r="D35" s="5"/>
      <c r="E35" s="5"/>
      <c r="F35" s="5"/>
      <c r="G35" s="5"/>
      <c r="H35" s="11"/>
      <c r="I35" s="39"/>
      <c r="J35" s="39"/>
    </row>
    <row r="36" spans="1:23" ht="48.75" customHeight="1">
      <c r="A36" s="576" t="s">
        <v>188</v>
      </c>
      <c r="B36" s="577"/>
      <c r="C36" s="577"/>
      <c r="D36" s="577"/>
      <c r="E36" s="577"/>
      <c r="F36" s="577"/>
      <c r="G36" s="577"/>
      <c r="H36" s="577"/>
      <c r="I36" s="577"/>
      <c r="J36" s="577"/>
      <c r="K36" s="577"/>
      <c r="L36" s="577"/>
      <c r="M36" s="577"/>
      <c r="N36" s="577"/>
    </row>
    <row r="37" spans="1:23" ht="39.75" customHeight="1">
      <c r="A37" s="576" t="s">
        <v>187</v>
      </c>
      <c r="B37" s="576"/>
      <c r="C37" s="576"/>
      <c r="D37" s="576"/>
      <c r="E37" s="576"/>
      <c r="F37" s="576"/>
      <c r="G37" s="576"/>
      <c r="H37" s="576"/>
      <c r="I37" s="576"/>
      <c r="J37" s="576"/>
      <c r="K37" s="576"/>
      <c r="L37" s="576"/>
      <c r="M37" s="576"/>
      <c r="N37" s="576"/>
    </row>
    <row r="38" spans="1:23" ht="28.5" customHeight="1">
      <c r="A38" s="31" t="s">
        <v>186</v>
      </c>
      <c r="B38" s="31"/>
      <c r="C38" s="31"/>
      <c r="D38" s="31"/>
      <c r="E38" s="31"/>
      <c r="F38" s="31"/>
      <c r="G38" s="31"/>
      <c r="H38" s="40"/>
      <c r="I38" s="32"/>
      <c r="J38" s="33"/>
      <c r="K38" s="33"/>
      <c r="L38" s="33"/>
      <c r="M38" s="33"/>
      <c r="N38" s="33"/>
    </row>
    <row r="39" spans="1:23" ht="51.75" customHeight="1">
      <c r="A39" s="576" t="s">
        <v>185</v>
      </c>
      <c r="B39" s="576"/>
      <c r="C39" s="576"/>
      <c r="D39" s="576"/>
      <c r="E39" s="576"/>
      <c r="F39" s="576"/>
      <c r="G39" s="576"/>
      <c r="H39" s="576"/>
      <c r="I39" s="576"/>
      <c r="J39" s="576"/>
      <c r="K39" s="576"/>
      <c r="L39" s="576"/>
      <c r="M39" s="576"/>
      <c r="N39" s="576"/>
    </row>
    <row r="40" spans="1:23" ht="28.5" customHeight="1">
      <c r="A40" s="31" t="s">
        <v>184</v>
      </c>
      <c r="B40" s="31"/>
      <c r="C40" s="31"/>
      <c r="D40" s="31"/>
      <c r="E40" s="31"/>
      <c r="F40" s="31"/>
      <c r="G40" s="31"/>
      <c r="H40" s="40"/>
      <c r="I40" s="32"/>
      <c r="J40" s="33"/>
      <c r="K40" s="33"/>
      <c r="L40" s="33"/>
      <c r="M40" s="33"/>
      <c r="N40" s="33"/>
    </row>
    <row r="41" spans="1:23" ht="51.75" customHeight="1">
      <c r="A41" s="576" t="s">
        <v>183</v>
      </c>
      <c r="B41" s="576"/>
      <c r="C41" s="576"/>
      <c r="D41" s="576"/>
      <c r="E41" s="576"/>
      <c r="F41" s="576"/>
      <c r="G41" s="576"/>
      <c r="H41" s="576"/>
      <c r="I41" s="576"/>
      <c r="J41" s="576"/>
      <c r="K41" s="576"/>
      <c r="L41" s="576"/>
      <c r="M41" s="576"/>
      <c r="N41" s="576"/>
    </row>
    <row r="42" spans="1:23" ht="28.5" customHeight="1">
      <c r="A42" s="5" t="s">
        <v>182</v>
      </c>
      <c r="B42" s="5"/>
      <c r="C42" s="5"/>
      <c r="D42" s="5"/>
      <c r="E42" s="5"/>
      <c r="F42" s="5"/>
      <c r="G42" s="5"/>
      <c r="H42" s="11"/>
      <c r="I42" s="39"/>
    </row>
    <row r="43" spans="1:23" ht="28.5" customHeight="1">
      <c r="A43" s="5"/>
      <c r="B43" s="5"/>
      <c r="C43" s="5"/>
      <c r="D43" s="5"/>
      <c r="E43" s="5"/>
      <c r="F43" s="5"/>
      <c r="G43" s="5"/>
      <c r="H43" s="11"/>
      <c r="I43" s="39"/>
    </row>
    <row r="44" spans="1:23" ht="28.5" customHeight="1">
      <c r="A44" s="5"/>
      <c r="B44" s="5"/>
      <c r="C44" s="5"/>
      <c r="D44" s="5"/>
      <c r="E44" s="5"/>
      <c r="F44" s="5"/>
      <c r="G44" s="5"/>
      <c r="H44" s="11"/>
      <c r="I44" s="39"/>
    </row>
    <row r="45" spans="1:23" ht="28.5" customHeight="1">
      <c r="A45" s="5"/>
      <c r="B45" s="5"/>
      <c r="C45" s="5"/>
      <c r="D45" s="5"/>
      <c r="E45" s="5"/>
      <c r="F45" s="5"/>
      <c r="G45" s="5"/>
      <c r="H45" s="11"/>
      <c r="I45" s="39"/>
    </row>
    <row r="46" spans="1:23" ht="28.5" customHeight="1">
      <c r="A46" s="5"/>
      <c r="B46" s="5"/>
      <c r="C46" s="5"/>
      <c r="D46" s="5"/>
      <c r="E46" s="5"/>
      <c r="F46" s="5"/>
      <c r="G46" s="5"/>
      <c r="H46" s="11"/>
      <c r="I46" s="39"/>
    </row>
    <row r="47" spans="1:23" ht="28.5" customHeight="1">
      <c r="A47" s="5"/>
      <c r="B47" s="5"/>
      <c r="C47" s="5"/>
      <c r="D47" s="5"/>
      <c r="E47" s="5"/>
      <c r="F47" s="5"/>
      <c r="G47" s="5"/>
      <c r="H47" s="11"/>
      <c r="I47" s="39"/>
    </row>
    <row r="48" spans="1:23" ht="28.5" customHeight="1">
      <c r="A48" s="5"/>
      <c r="B48" s="5"/>
      <c r="C48" s="5"/>
      <c r="D48" s="5"/>
      <c r="E48" s="5"/>
      <c r="F48" s="5"/>
      <c r="G48" s="5"/>
      <c r="H48" s="11"/>
      <c r="I48" s="39"/>
    </row>
    <row r="49" spans="1:9" ht="28.5" customHeight="1">
      <c r="A49" s="5"/>
      <c r="B49" s="5"/>
      <c r="C49" s="5"/>
      <c r="D49" s="5"/>
      <c r="E49" s="5"/>
      <c r="F49" s="5"/>
      <c r="G49" s="5"/>
      <c r="H49" s="11"/>
      <c r="I49" s="39"/>
    </row>
    <row r="50" spans="1:9" ht="28.5" customHeight="1">
      <c r="A50" s="5"/>
      <c r="B50" s="5"/>
      <c r="C50" s="5"/>
      <c r="D50" s="5"/>
      <c r="E50" s="5"/>
      <c r="F50" s="5"/>
      <c r="G50" s="5"/>
      <c r="H50" s="11"/>
      <c r="I50" s="39"/>
    </row>
    <row r="51" spans="1:9" ht="28.5" customHeight="1">
      <c r="A51" s="5"/>
      <c r="B51" s="5"/>
      <c r="C51" s="5"/>
      <c r="D51" s="5"/>
      <c r="E51" s="5"/>
      <c r="F51" s="5"/>
      <c r="G51" s="5"/>
      <c r="H51" s="11"/>
      <c r="I51" s="39"/>
    </row>
    <row r="52" spans="1:9" ht="28.5" customHeight="1">
      <c r="A52" s="5"/>
      <c r="B52" s="5"/>
      <c r="C52" s="5"/>
      <c r="D52" s="5"/>
      <c r="E52" s="5"/>
      <c r="F52" s="5"/>
      <c r="G52" s="5"/>
      <c r="H52" s="11"/>
      <c r="I52" s="39"/>
    </row>
  </sheetData>
  <mergeCells count="4">
    <mergeCell ref="A36:N36"/>
    <mergeCell ref="A37:N37"/>
    <mergeCell ref="A39:N39"/>
    <mergeCell ref="A41:N41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X51"/>
  <sheetViews>
    <sheetView showGridLines="0" view="pageBreakPreview" zoomScale="90" zoomScaleNormal="100" zoomScaleSheetLayoutView="90" workbookViewId="0">
      <selection activeCell="Q15" sqref="Q15"/>
    </sheetView>
  </sheetViews>
  <sheetFormatPr defaultColWidth="9" defaultRowHeight="28.5" customHeight="1"/>
  <cols>
    <col min="1" max="1" width="40" style="1" customWidth="1"/>
    <col min="2" max="2" width="6.5" style="1" customWidth="1"/>
    <col min="3" max="12" width="8" style="1" customWidth="1"/>
    <col min="13" max="13" width="8" style="5" customWidth="1"/>
    <col min="14" max="14" width="8" style="1" customWidth="1"/>
    <col min="15" max="15" width="9.58203125" style="1" customWidth="1"/>
    <col min="16" max="17" width="9" style="1"/>
    <col min="18" max="18" width="9" style="5"/>
    <col min="19" max="21" width="9" style="1"/>
    <col min="22" max="22" width="9" style="135"/>
    <col min="23" max="23" width="9" style="1"/>
    <col min="24" max="24" width="9" style="135"/>
    <col min="25" max="25" width="9" style="1"/>
    <col min="26" max="26" width="9" style="38"/>
    <col min="27" max="27" width="9" style="17"/>
    <col min="28" max="30" width="10.08203125" style="1" bestFit="1" customWidth="1"/>
    <col min="31" max="34" width="9.25" style="1" bestFit="1" customWidth="1"/>
    <col min="35" max="38" width="10.08203125" style="1" bestFit="1" customWidth="1"/>
    <col min="39" max="39" width="9.25" style="1" bestFit="1" customWidth="1"/>
    <col min="40" max="40" width="10.08203125" style="1" bestFit="1" customWidth="1"/>
    <col min="41" max="44" width="9.25" style="1" bestFit="1" customWidth="1"/>
    <col min="45" max="45" width="10.08203125" style="1" bestFit="1" customWidth="1"/>
    <col min="46" max="49" width="9.25" style="1" bestFit="1" customWidth="1"/>
    <col min="50" max="50" width="10.08203125" style="1" bestFit="1" customWidth="1"/>
    <col min="51" max="16384" width="9" style="1"/>
  </cols>
  <sheetData>
    <row r="1" spans="1:50" ht="16.5" customHeight="1">
      <c r="A1" s="5"/>
      <c r="B1" s="5"/>
      <c r="C1" s="93">
        <v>2004</v>
      </c>
      <c r="D1" s="93">
        <v>2005</v>
      </c>
      <c r="E1" s="94">
        <v>2006</v>
      </c>
      <c r="F1" s="94" t="s">
        <v>215</v>
      </c>
      <c r="G1" s="94" t="s">
        <v>216</v>
      </c>
      <c r="H1" s="94" t="s">
        <v>217</v>
      </c>
      <c r="I1" s="94" t="s">
        <v>218</v>
      </c>
      <c r="J1" s="94">
        <v>2007</v>
      </c>
      <c r="K1" s="94" t="s">
        <v>219</v>
      </c>
      <c r="L1" s="94" t="s">
        <v>220</v>
      </c>
      <c r="M1" s="94" t="s">
        <v>221</v>
      </c>
      <c r="N1" s="94" t="s">
        <v>222</v>
      </c>
      <c r="O1" s="95">
        <v>2008</v>
      </c>
      <c r="P1" s="94" t="s">
        <v>223</v>
      </c>
      <c r="Q1" s="94" t="s">
        <v>224</v>
      </c>
      <c r="R1" s="94" t="s">
        <v>225</v>
      </c>
      <c r="S1" s="94" t="s">
        <v>226</v>
      </c>
      <c r="T1" s="95">
        <v>2009</v>
      </c>
      <c r="U1" s="94" t="s">
        <v>72</v>
      </c>
      <c r="V1" s="93" t="s">
        <v>73</v>
      </c>
      <c r="W1" s="93" t="s">
        <v>77</v>
      </c>
      <c r="X1" s="93" t="s">
        <v>84</v>
      </c>
      <c r="Y1" s="93">
        <v>2010</v>
      </c>
      <c r="Z1" s="94" t="s">
        <v>227</v>
      </c>
      <c r="AA1" s="96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</row>
    <row r="2" spans="1:50" ht="20.149999999999999" customHeight="1">
      <c r="A2" s="97" t="s">
        <v>228</v>
      </c>
      <c r="B2" s="39"/>
      <c r="C2" s="10"/>
      <c r="D2" s="11"/>
      <c r="E2" s="11"/>
      <c r="F2" s="98"/>
      <c r="G2" s="11"/>
      <c r="H2" s="11"/>
      <c r="I2" s="11"/>
      <c r="J2" s="11"/>
      <c r="K2" s="98"/>
      <c r="L2" s="11"/>
      <c r="M2" s="99"/>
      <c r="N2" s="5"/>
      <c r="O2" s="5"/>
      <c r="P2" s="5"/>
      <c r="S2" s="5"/>
      <c r="T2" s="5"/>
      <c r="U2" s="5"/>
      <c r="V2" s="16"/>
      <c r="W2" s="5"/>
      <c r="X2" s="16"/>
      <c r="Y2" s="5"/>
      <c r="Z2" s="11"/>
      <c r="AA2" s="39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</row>
    <row r="3" spans="1:50" ht="20.149999999999999" customHeight="1">
      <c r="A3" s="13" t="s">
        <v>229</v>
      </c>
      <c r="B3" s="39"/>
      <c r="C3" s="100" t="s">
        <v>230</v>
      </c>
      <c r="D3" s="100" t="s">
        <v>231</v>
      </c>
      <c r="E3" s="100" t="s">
        <v>232</v>
      </c>
      <c r="F3" s="12" t="s">
        <v>233</v>
      </c>
      <c r="G3" s="15" t="s">
        <v>234</v>
      </c>
      <c r="H3" s="15" t="s">
        <v>235</v>
      </c>
      <c r="I3" s="15" t="s">
        <v>236</v>
      </c>
      <c r="J3" s="101" t="s">
        <v>237</v>
      </c>
      <c r="K3" s="12" t="s">
        <v>238</v>
      </c>
      <c r="L3" s="15" t="s">
        <v>239</v>
      </c>
      <c r="M3" s="15" t="s">
        <v>240</v>
      </c>
      <c r="N3" s="15" t="s">
        <v>241</v>
      </c>
      <c r="O3" s="15" t="s">
        <v>242</v>
      </c>
      <c r="P3" s="15" t="s">
        <v>243</v>
      </c>
      <c r="Q3" s="15" t="s">
        <v>244</v>
      </c>
      <c r="R3" s="15" t="s">
        <v>245</v>
      </c>
      <c r="S3" s="15" t="s">
        <v>246</v>
      </c>
      <c r="T3" s="15" t="s">
        <v>247</v>
      </c>
      <c r="U3" s="102" t="s">
        <v>248</v>
      </c>
      <c r="V3" s="16" t="s">
        <v>249</v>
      </c>
      <c r="W3" s="16" t="s">
        <v>250</v>
      </c>
      <c r="X3" s="16" t="s">
        <v>251</v>
      </c>
      <c r="Y3" s="16" t="s">
        <v>252</v>
      </c>
      <c r="Z3" s="21"/>
      <c r="AA3" s="16"/>
      <c r="AB3" s="21"/>
      <c r="AC3" s="12"/>
      <c r="AD3" s="12"/>
      <c r="AE3" s="12"/>
      <c r="AF3" s="12"/>
      <c r="AG3" s="103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86"/>
      <c r="AS3" s="14"/>
      <c r="AT3" s="14"/>
      <c r="AU3" s="14"/>
      <c r="AV3" s="14"/>
      <c r="AW3" s="11"/>
      <c r="AX3" s="11"/>
    </row>
    <row r="4" spans="1:50" ht="20.149999999999999" customHeight="1">
      <c r="A4" s="13" t="s">
        <v>210</v>
      </c>
      <c r="B4" s="39"/>
      <c r="C4" s="100" t="s">
        <v>253</v>
      </c>
      <c r="D4" s="100" t="s">
        <v>254</v>
      </c>
      <c r="E4" s="100" t="s">
        <v>255</v>
      </c>
      <c r="F4" s="12" t="s">
        <v>256</v>
      </c>
      <c r="G4" s="15" t="s">
        <v>257</v>
      </c>
      <c r="H4" s="15" t="s">
        <v>258</v>
      </c>
      <c r="I4" s="15" t="s">
        <v>259</v>
      </c>
      <c r="J4" s="16" t="s">
        <v>260</v>
      </c>
      <c r="K4" s="12" t="s">
        <v>261</v>
      </c>
      <c r="L4" s="15" t="s">
        <v>262</v>
      </c>
      <c r="M4" s="15" t="s">
        <v>263</v>
      </c>
      <c r="N4" s="15" t="s">
        <v>264</v>
      </c>
      <c r="O4" s="15" t="s">
        <v>265</v>
      </c>
      <c r="P4" s="15" t="s">
        <v>266</v>
      </c>
      <c r="Q4" s="15" t="s">
        <v>267</v>
      </c>
      <c r="R4" s="15" t="s">
        <v>268</v>
      </c>
      <c r="S4" s="102" t="s">
        <v>269</v>
      </c>
      <c r="T4" s="102" t="s">
        <v>270</v>
      </c>
      <c r="U4" s="102" t="s">
        <v>271</v>
      </c>
      <c r="V4" s="16" t="s">
        <v>272</v>
      </c>
      <c r="W4" s="16" t="s">
        <v>273</v>
      </c>
      <c r="X4" s="16" t="s">
        <v>274</v>
      </c>
      <c r="Y4" s="16" t="s">
        <v>275</v>
      </c>
      <c r="Z4" s="21"/>
      <c r="AA4" s="16"/>
      <c r="AB4" s="21"/>
      <c r="AC4" s="12"/>
      <c r="AD4" s="12"/>
      <c r="AE4" s="12"/>
      <c r="AF4" s="12"/>
      <c r="AG4" s="14"/>
      <c r="AH4" s="12"/>
      <c r="AI4" s="12"/>
      <c r="AJ4" s="12"/>
      <c r="AK4" s="12"/>
      <c r="AL4" s="12"/>
      <c r="AM4" s="12"/>
      <c r="AN4" s="12"/>
      <c r="AO4" s="12"/>
      <c r="AP4" s="86"/>
      <c r="AQ4" s="86"/>
      <c r="AR4" s="86"/>
      <c r="AS4" s="14"/>
      <c r="AT4" s="14"/>
      <c r="AU4" s="14"/>
      <c r="AV4" s="14"/>
      <c r="AW4" s="11"/>
      <c r="AX4" s="11"/>
    </row>
    <row r="5" spans="1:50" ht="20.149999999999999" customHeight="1">
      <c r="A5" s="13" t="s">
        <v>276</v>
      </c>
      <c r="B5" s="39"/>
      <c r="C5" s="100" t="s">
        <v>277</v>
      </c>
      <c r="D5" s="100" t="s">
        <v>278</v>
      </c>
      <c r="E5" s="100" t="s">
        <v>279</v>
      </c>
      <c r="F5" s="15" t="s">
        <v>279</v>
      </c>
      <c r="G5" s="100" t="s">
        <v>279</v>
      </c>
      <c r="H5" s="15" t="s">
        <v>279</v>
      </c>
      <c r="I5" s="15" t="str">
        <f>H5</f>
        <v>—</v>
      </c>
      <c r="J5" s="16" t="s">
        <v>279</v>
      </c>
      <c r="K5" s="12" t="s">
        <v>279</v>
      </c>
      <c r="L5" s="15" t="s">
        <v>279</v>
      </c>
      <c r="M5" s="15"/>
      <c r="N5" s="15" t="s">
        <v>279</v>
      </c>
      <c r="O5" s="15" t="s">
        <v>279</v>
      </c>
      <c r="P5" s="15" t="s">
        <v>279</v>
      </c>
      <c r="Q5" s="15" t="s">
        <v>279</v>
      </c>
      <c r="R5" s="15" t="s">
        <v>279</v>
      </c>
      <c r="S5" s="15" t="s">
        <v>279</v>
      </c>
      <c r="T5" s="15" t="s">
        <v>279</v>
      </c>
      <c r="U5" s="15" t="s">
        <v>279</v>
      </c>
      <c r="V5" s="15" t="s">
        <v>279</v>
      </c>
      <c r="W5" s="15" t="s">
        <v>279</v>
      </c>
      <c r="X5" s="15" t="s">
        <v>279</v>
      </c>
      <c r="Y5" s="15" t="s">
        <v>279</v>
      </c>
      <c r="Z5" s="21"/>
      <c r="AA5" s="15"/>
      <c r="AB5" s="21"/>
      <c r="AC5" s="12"/>
      <c r="AD5" s="21"/>
      <c r="AE5" s="12"/>
      <c r="AF5" s="12"/>
      <c r="AG5" s="11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</row>
    <row r="6" spans="1:50" ht="30" customHeight="1">
      <c r="A6" s="13" t="s">
        <v>280</v>
      </c>
      <c r="B6" s="39"/>
      <c r="C6" s="100" t="s">
        <v>279</v>
      </c>
      <c r="D6" s="100" t="s">
        <v>279</v>
      </c>
      <c r="E6" s="100" t="s">
        <v>279</v>
      </c>
      <c r="F6" s="100" t="s">
        <v>279</v>
      </c>
      <c r="G6" s="100" t="s">
        <v>279</v>
      </c>
      <c r="H6" s="100" t="s">
        <v>279</v>
      </c>
      <c r="I6" s="100" t="s">
        <v>279</v>
      </c>
      <c r="J6" s="100" t="s">
        <v>279</v>
      </c>
      <c r="K6" s="100" t="s">
        <v>279</v>
      </c>
      <c r="L6" s="100" t="s">
        <v>279</v>
      </c>
      <c r="M6" s="89">
        <v>121</v>
      </c>
      <c r="N6" s="54">
        <v>884</v>
      </c>
      <c r="O6" s="100" t="s">
        <v>281</v>
      </c>
      <c r="P6" s="89">
        <v>970</v>
      </c>
      <c r="Q6" s="89">
        <v>915</v>
      </c>
      <c r="R6" s="15" t="s">
        <v>282</v>
      </c>
      <c r="S6" s="102" t="s">
        <v>283</v>
      </c>
      <c r="T6" s="104" t="s">
        <v>284</v>
      </c>
      <c r="U6" s="102" t="s">
        <v>285</v>
      </c>
      <c r="V6" s="16" t="s">
        <v>286</v>
      </c>
      <c r="W6" s="16" t="s">
        <v>287</v>
      </c>
      <c r="X6" s="16" t="s">
        <v>288</v>
      </c>
      <c r="Y6" s="16" t="s">
        <v>289</v>
      </c>
      <c r="Z6" s="21"/>
      <c r="AA6" s="16"/>
      <c r="AB6" s="21"/>
      <c r="AC6" s="21"/>
      <c r="AD6" s="21"/>
      <c r="AE6" s="21"/>
      <c r="AF6" s="21"/>
      <c r="AG6" s="21"/>
      <c r="AH6" s="21"/>
      <c r="AI6" s="21"/>
      <c r="AJ6" s="14"/>
      <c r="AK6" s="85"/>
      <c r="AL6" s="21"/>
      <c r="AM6" s="14"/>
      <c r="AN6" s="14"/>
      <c r="AO6" s="12"/>
      <c r="AP6" s="86"/>
      <c r="AQ6" s="105"/>
      <c r="AR6" s="86"/>
      <c r="AS6" s="14"/>
      <c r="AT6" s="14"/>
      <c r="AU6" s="14"/>
      <c r="AV6" s="14"/>
      <c r="AW6" s="11"/>
      <c r="AX6" s="11"/>
    </row>
    <row r="7" spans="1:50" s="5" customFormat="1" ht="19.5" customHeight="1">
      <c r="A7" s="13" t="s">
        <v>209</v>
      </c>
      <c r="B7" s="39"/>
      <c r="C7" s="85" t="s">
        <v>290</v>
      </c>
      <c r="D7" s="85" t="s">
        <v>291</v>
      </c>
      <c r="E7" s="85" t="s">
        <v>292</v>
      </c>
      <c r="F7" s="85" t="s">
        <v>293</v>
      </c>
      <c r="G7" s="85" t="s">
        <v>294</v>
      </c>
      <c r="H7" s="85" t="s">
        <v>295</v>
      </c>
      <c r="I7" s="85" t="s">
        <v>296</v>
      </c>
      <c r="J7" s="85" t="s">
        <v>297</v>
      </c>
      <c r="K7" s="85" t="s">
        <v>298</v>
      </c>
      <c r="L7" s="85" t="s">
        <v>299</v>
      </c>
      <c r="M7" s="85" t="s">
        <v>300</v>
      </c>
      <c r="N7" s="85" t="s">
        <v>301</v>
      </c>
      <c r="O7" s="85" t="s">
        <v>302</v>
      </c>
      <c r="P7" s="85" t="s">
        <v>303</v>
      </c>
      <c r="Q7" s="85" t="s">
        <v>304</v>
      </c>
      <c r="R7" s="85" t="s">
        <v>305</v>
      </c>
      <c r="S7" s="85" t="s">
        <v>306</v>
      </c>
      <c r="T7" s="85" t="s">
        <v>307</v>
      </c>
      <c r="U7" s="85" t="s">
        <v>308</v>
      </c>
      <c r="V7" s="85" t="s">
        <v>309</v>
      </c>
      <c r="W7" s="85" t="s">
        <v>310</v>
      </c>
      <c r="X7" s="85" t="s">
        <v>311</v>
      </c>
      <c r="Y7" s="85" t="s">
        <v>312</v>
      </c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11"/>
      <c r="AX7" s="11"/>
    </row>
    <row r="8" spans="1:50" ht="20.149999999999999" customHeight="1">
      <c r="A8" s="13" t="s">
        <v>197</v>
      </c>
      <c r="B8" s="39"/>
      <c r="C8" s="106" t="s">
        <v>313</v>
      </c>
      <c r="D8" s="106" t="s">
        <v>314</v>
      </c>
      <c r="E8" s="106" t="s">
        <v>315</v>
      </c>
      <c r="F8" s="107" t="s">
        <v>316</v>
      </c>
      <c r="G8" s="108">
        <v>716</v>
      </c>
      <c r="H8" s="107" t="s">
        <v>317</v>
      </c>
      <c r="I8" s="107" t="s">
        <v>318</v>
      </c>
      <c r="J8" s="109" t="s">
        <v>319</v>
      </c>
      <c r="K8" s="107" t="s">
        <v>320</v>
      </c>
      <c r="L8" s="107" t="s">
        <v>321</v>
      </c>
      <c r="M8" s="107" t="s">
        <v>322</v>
      </c>
      <c r="N8" s="107" t="s">
        <v>323</v>
      </c>
      <c r="O8" s="107" t="s">
        <v>324</v>
      </c>
      <c r="P8" s="107" t="s">
        <v>325</v>
      </c>
      <c r="Q8" s="107" t="s">
        <v>326</v>
      </c>
      <c r="R8" s="107" t="s">
        <v>327</v>
      </c>
      <c r="S8" s="107" t="s">
        <v>328</v>
      </c>
      <c r="T8" s="107" t="s">
        <v>329</v>
      </c>
      <c r="U8" s="106" t="s">
        <v>330</v>
      </c>
      <c r="V8" s="109" t="s">
        <v>331</v>
      </c>
      <c r="W8" s="109" t="s">
        <v>332</v>
      </c>
      <c r="X8" s="109" t="s">
        <v>333</v>
      </c>
      <c r="Y8" s="109" t="s">
        <v>334</v>
      </c>
      <c r="Z8" s="21"/>
      <c r="AA8" s="11"/>
      <c r="AB8" s="21"/>
      <c r="AC8" s="12"/>
      <c r="AD8" s="85"/>
      <c r="AE8" s="12"/>
      <c r="AF8" s="12"/>
      <c r="AG8" s="14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21"/>
      <c r="AS8" s="14"/>
      <c r="AT8" s="14"/>
      <c r="AU8" s="14"/>
      <c r="AV8" s="14"/>
      <c r="AW8" s="11"/>
      <c r="AX8" s="11"/>
    </row>
    <row r="9" spans="1:50" s="3" customFormat="1" ht="20.149999999999999" customHeight="1">
      <c r="A9" s="20" t="s">
        <v>335</v>
      </c>
      <c r="B9" s="110"/>
      <c r="C9" s="23" t="s">
        <v>336</v>
      </c>
      <c r="D9" s="23" t="s">
        <v>337</v>
      </c>
      <c r="E9" s="24" t="s">
        <v>338</v>
      </c>
      <c r="F9" s="111" t="s">
        <v>339</v>
      </c>
      <c r="G9" s="24" t="s">
        <v>340</v>
      </c>
      <c r="H9" s="24" t="s">
        <v>341</v>
      </c>
      <c r="I9" s="24" t="s">
        <v>342</v>
      </c>
      <c r="J9" s="112" t="s">
        <v>343</v>
      </c>
      <c r="K9" s="111" t="s">
        <v>344</v>
      </c>
      <c r="L9" s="111" t="s">
        <v>345</v>
      </c>
      <c r="M9" s="111" t="s">
        <v>346</v>
      </c>
      <c r="N9" s="111" t="s">
        <v>347</v>
      </c>
      <c r="O9" s="113" t="s">
        <v>348</v>
      </c>
      <c r="P9" s="113" t="s">
        <v>349</v>
      </c>
      <c r="Q9" s="113" t="s">
        <v>350</v>
      </c>
      <c r="R9" s="111" t="s">
        <v>351</v>
      </c>
      <c r="S9" s="111" t="s">
        <v>352</v>
      </c>
      <c r="T9" s="111" t="s">
        <v>353</v>
      </c>
      <c r="U9" s="23" t="s">
        <v>354</v>
      </c>
      <c r="V9" s="114" t="s">
        <v>355</v>
      </c>
      <c r="W9" s="114" t="s">
        <v>356</v>
      </c>
      <c r="X9" s="114" t="s">
        <v>357</v>
      </c>
      <c r="Y9" s="114" t="s">
        <v>358</v>
      </c>
      <c r="Z9" s="24"/>
      <c r="AA9" s="114"/>
      <c r="AB9" s="24"/>
      <c r="AC9" s="111"/>
      <c r="AD9" s="24"/>
      <c r="AE9" s="24"/>
      <c r="AF9" s="24"/>
      <c r="AG9" s="115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24"/>
      <c r="AS9" s="116"/>
      <c r="AT9" s="116"/>
      <c r="AU9" s="116"/>
      <c r="AV9" s="116"/>
      <c r="AW9" s="117"/>
      <c r="AX9" s="117"/>
    </row>
    <row r="10" spans="1:50" s="3" customFormat="1" ht="20.149999999999999" customHeight="1">
      <c r="A10" s="97" t="s">
        <v>359</v>
      </c>
      <c r="B10" s="110"/>
      <c r="C10" s="24"/>
      <c r="D10" s="24"/>
      <c r="E10" s="24"/>
      <c r="F10" s="118"/>
      <c r="G10" s="10"/>
      <c r="H10" s="10"/>
      <c r="I10" s="10"/>
      <c r="J10" s="10"/>
      <c r="K10" s="118"/>
      <c r="L10" s="10"/>
      <c r="M10" s="119"/>
      <c r="N10" s="119"/>
      <c r="O10" s="15"/>
      <c r="P10" s="6"/>
      <c r="Q10" s="15"/>
      <c r="R10" s="6"/>
      <c r="S10" s="6"/>
      <c r="T10" s="6"/>
      <c r="U10" s="6"/>
      <c r="V10" s="16"/>
      <c r="W10" s="16"/>
      <c r="X10" s="16"/>
      <c r="Y10" s="16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18"/>
      <c r="AX10" s="18"/>
    </row>
    <row r="11" spans="1:50" ht="20.149999999999999" customHeight="1">
      <c r="A11" s="13" t="s">
        <v>2</v>
      </c>
      <c r="B11" s="39"/>
      <c r="C11" s="100" t="s">
        <v>360</v>
      </c>
      <c r="D11" s="100" t="s">
        <v>361</v>
      </c>
      <c r="E11" s="100" t="s">
        <v>362</v>
      </c>
      <c r="F11" s="12" t="s">
        <v>363</v>
      </c>
      <c r="G11" s="21" t="s">
        <v>364</v>
      </c>
      <c r="H11" s="21" t="s">
        <v>365</v>
      </c>
      <c r="I11" s="21" t="s">
        <v>366</v>
      </c>
      <c r="J11" s="16" t="s">
        <v>367</v>
      </c>
      <c r="K11" s="12" t="s">
        <v>368</v>
      </c>
      <c r="L11" s="11" t="s">
        <v>369</v>
      </c>
      <c r="M11" s="11" t="s">
        <v>370</v>
      </c>
      <c r="N11" s="15" t="s">
        <v>371</v>
      </c>
      <c r="O11" s="15" t="s">
        <v>372</v>
      </c>
      <c r="P11" s="15" t="s">
        <v>373</v>
      </c>
      <c r="Q11" s="15" t="s">
        <v>374</v>
      </c>
      <c r="R11" s="15" t="s">
        <v>375</v>
      </c>
      <c r="S11" s="15" t="s">
        <v>376</v>
      </c>
      <c r="T11" s="15" t="s">
        <v>377</v>
      </c>
      <c r="U11" s="15" t="s">
        <v>378</v>
      </c>
      <c r="V11" s="16" t="s">
        <v>379</v>
      </c>
      <c r="W11" s="16" t="s">
        <v>380</v>
      </c>
      <c r="X11" s="16" t="s">
        <v>381</v>
      </c>
      <c r="Y11" s="16" t="s">
        <v>382</v>
      </c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19"/>
      <c r="AX11" s="19"/>
    </row>
    <row r="12" spans="1:50" ht="20.149999999999999" customHeight="1">
      <c r="A12" s="13" t="s">
        <v>208</v>
      </c>
      <c r="B12" s="39"/>
      <c r="C12" s="100" t="s">
        <v>383</v>
      </c>
      <c r="D12" s="100" t="s">
        <v>384</v>
      </c>
      <c r="E12" s="100" t="s">
        <v>385</v>
      </c>
      <c r="F12" s="12" t="s">
        <v>386</v>
      </c>
      <c r="G12" s="21" t="s">
        <v>387</v>
      </c>
      <c r="H12" s="21" t="s">
        <v>388</v>
      </c>
      <c r="I12" s="21" t="s">
        <v>389</v>
      </c>
      <c r="J12" s="16" t="s">
        <v>390</v>
      </c>
      <c r="K12" s="12" t="s">
        <v>391</v>
      </c>
      <c r="L12" s="11" t="s">
        <v>392</v>
      </c>
      <c r="M12" s="11" t="s">
        <v>393</v>
      </c>
      <c r="N12" s="15" t="s">
        <v>394</v>
      </c>
      <c r="O12" s="15" t="s">
        <v>395</v>
      </c>
      <c r="P12" s="15" t="s">
        <v>396</v>
      </c>
      <c r="Q12" s="15" t="s">
        <v>397</v>
      </c>
      <c r="R12" s="15" t="s">
        <v>398</v>
      </c>
      <c r="S12" s="15" t="s">
        <v>399</v>
      </c>
      <c r="T12" s="15" t="s">
        <v>400</v>
      </c>
      <c r="U12" s="15" t="s">
        <v>401</v>
      </c>
      <c r="V12" s="16" t="s">
        <v>402</v>
      </c>
      <c r="W12" s="16" t="s">
        <v>403</v>
      </c>
      <c r="X12" s="16" t="s">
        <v>404</v>
      </c>
      <c r="Y12" s="16" t="s">
        <v>405</v>
      </c>
      <c r="Z12" s="11"/>
      <c r="AA12" s="11"/>
      <c r="AB12" s="5"/>
    </row>
    <row r="13" spans="1:50" ht="18.75" customHeight="1">
      <c r="A13" s="13" t="s">
        <v>204</v>
      </c>
      <c r="B13" s="39"/>
      <c r="C13" s="100" t="s">
        <v>406</v>
      </c>
      <c r="D13" s="100" t="s">
        <v>407</v>
      </c>
      <c r="E13" s="100" t="s">
        <v>408</v>
      </c>
      <c r="F13" s="12" t="s">
        <v>409</v>
      </c>
      <c r="G13" s="21" t="s">
        <v>410</v>
      </c>
      <c r="H13" s="21" t="s">
        <v>411</v>
      </c>
      <c r="I13" s="21" t="s">
        <v>412</v>
      </c>
      <c r="J13" s="16" t="s">
        <v>413</v>
      </c>
      <c r="K13" s="12" t="s">
        <v>414</v>
      </c>
      <c r="L13" s="11" t="s">
        <v>415</v>
      </c>
      <c r="M13" s="11" t="s">
        <v>416</v>
      </c>
      <c r="N13" s="15" t="s">
        <v>417</v>
      </c>
      <c r="O13" s="15" t="s">
        <v>418</v>
      </c>
      <c r="P13" s="15" t="s">
        <v>419</v>
      </c>
      <c r="Q13" s="15" t="s">
        <v>420</v>
      </c>
      <c r="R13" s="15" t="s">
        <v>421</v>
      </c>
      <c r="S13" s="15" t="s">
        <v>422</v>
      </c>
      <c r="T13" s="15" t="s">
        <v>423</v>
      </c>
      <c r="U13" s="15" t="s">
        <v>424</v>
      </c>
      <c r="V13" s="16" t="s">
        <v>425</v>
      </c>
      <c r="W13" s="16" t="s">
        <v>426</v>
      </c>
      <c r="X13" s="16" t="s">
        <v>427</v>
      </c>
      <c r="Y13" s="16" t="s">
        <v>428</v>
      </c>
      <c r="Z13" s="11"/>
      <c r="AA13" s="11"/>
      <c r="AB13" s="5"/>
    </row>
    <row r="14" spans="1:50" ht="27" customHeight="1">
      <c r="A14" s="13" t="s">
        <v>429</v>
      </c>
      <c r="B14" s="39"/>
      <c r="C14" s="100" t="s">
        <v>430</v>
      </c>
      <c r="D14" s="100" t="s">
        <v>431</v>
      </c>
      <c r="E14" s="100" t="s">
        <v>432</v>
      </c>
      <c r="F14" s="12" t="s">
        <v>433</v>
      </c>
      <c r="G14" s="21" t="s">
        <v>434</v>
      </c>
      <c r="H14" s="21" t="s">
        <v>435</v>
      </c>
      <c r="I14" s="21" t="s">
        <v>436</v>
      </c>
      <c r="J14" s="16" t="s">
        <v>437</v>
      </c>
      <c r="K14" s="12" t="s">
        <v>438</v>
      </c>
      <c r="L14" s="11" t="s">
        <v>439</v>
      </c>
      <c r="M14" s="11" t="s">
        <v>440</v>
      </c>
      <c r="N14" s="11" t="s">
        <v>441</v>
      </c>
      <c r="O14" s="11" t="s">
        <v>442</v>
      </c>
      <c r="P14" s="15" t="s">
        <v>443</v>
      </c>
      <c r="Q14" s="15" t="s">
        <v>444</v>
      </c>
      <c r="R14" s="15" t="s">
        <v>445</v>
      </c>
      <c r="S14" s="15" t="s">
        <v>446</v>
      </c>
      <c r="T14" s="15" t="s">
        <v>447</v>
      </c>
      <c r="U14" s="15" t="s">
        <v>448</v>
      </c>
      <c r="V14" s="16" t="s">
        <v>449</v>
      </c>
      <c r="W14" s="16" t="s">
        <v>450</v>
      </c>
      <c r="X14" s="16" t="s">
        <v>451</v>
      </c>
      <c r="Y14" s="16" t="s">
        <v>452</v>
      </c>
      <c r="Z14" s="11"/>
      <c r="AA14" s="11"/>
      <c r="AB14" s="5"/>
    </row>
    <row r="15" spans="1:50" ht="20.149999999999999" customHeight="1">
      <c r="A15" s="13" t="s">
        <v>3</v>
      </c>
      <c r="B15" s="39"/>
      <c r="C15" s="100" t="s">
        <v>453</v>
      </c>
      <c r="D15" s="100" t="s">
        <v>454</v>
      </c>
      <c r="E15" s="100" t="s">
        <v>455</v>
      </c>
      <c r="F15" s="12" t="s">
        <v>456</v>
      </c>
      <c r="G15" s="21" t="s">
        <v>457</v>
      </c>
      <c r="H15" s="21" t="s">
        <v>458</v>
      </c>
      <c r="I15" s="21" t="s">
        <v>459</v>
      </c>
      <c r="J15" s="16" t="s">
        <v>460</v>
      </c>
      <c r="K15" s="12" t="s">
        <v>461</v>
      </c>
      <c r="L15" s="11" t="s">
        <v>462</v>
      </c>
      <c r="M15" s="11" t="s">
        <v>463</v>
      </c>
      <c r="N15" s="11" t="s">
        <v>464</v>
      </c>
      <c r="O15" s="11" t="s">
        <v>445</v>
      </c>
      <c r="P15" s="15" t="s">
        <v>465</v>
      </c>
      <c r="Q15" s="15" t="s">
        <v>466</v>
      </c>
      <c r="R15" s="15" t="s">
        <v>467</v>
      </c>
      <c r="S15" s="15" t="s">
        <v>468</v>
      </c>
      <c r="T15" s="15" t="s">
        <v>469</v>
      </c>
      <c r="U15" s="15" t="s">
        <v>470</v>
      </c>
      <c r="V15" s="16" t="s">
        <v>471</v>
      </c>
      <c r="W15" s="16" t="s">
        <v>472</v>
      </c>
      <c r="X15" s="16" t="s">
        <v>473</v>
      </c>
      <c r="Y15" s="16" t="s">
        <v>474</v>
      </c>
      <c r="Z15" s="11"/>
      <c r="AA15" s="11"/>
      <c r="AB15" s="5"/>
    </row>
    <row r="16" spans="1:50" ht="24.75" customHeight="1">
      <c r="A16" s="13" t="s">
        <v>199</v>
      </c>
      <c r="B16" s="39"/>
      <c r="C16" s="100" t="s">
        <v>475</v>
      </c>
      <c r="D16" s="100" t="s">
        <v>476</v>
      </c>
      <c r="E16" s="100" t="s">
        <v>477</v>
      </c>
      <c r="F16" s="12" t="s">
        <v>478</v>
      </c>
      <c r="G16" s="21" t="s">
        <v>479</v>
      </c>
      <c r="H16" s="21" t="s">
        <v>480</v>
      </c>
      <c r="I16" s="21" t="s">
        <v>481</v>
      </c>
      <c r="J16" s="16" t="s">
        <v>482</v>
      </c>
      <c r="K16" s="12" t="s">
        <v>483</v>
      </c>
      <c r="L16" s="11" t="s">
        <v>484</v>
      </c>
      <c r="M16" s="11" t="s">
        <v>485</v>
      </c>
      <c r="N16" s="15" t="s">
        <v>486</v>
      </c>
      <c r="O16" s="15" t="s">
        <v>487</v>
      </c>
      <c r="P16" s="15" t="s">
        <v>488</v>
      </c>
      <c r="Q16" s="15" t="s">
        <v>489</v>
      </c>
      <c r="R16" s="15" t="s">
        <v>490</v>
      </c>
      <c r="S16" s="15" t="s">
        <v>491</v>
      </c>
      <c r="T16" s="15" t="s">
        <v>492</v>
      </c>
      <c r="U16" s="15" t="s">
        <v>493</v>
      </c>
      <c r="V16" s="16" t="s">
        <v>494</v>
      </c>
      <c r="W16" s="16" t="s">
        <v>495</v>
      </c>
      <c r="X16" s="16" t="s">
        <v>496</v>
      </c>
      <c r="Y16" s="16" t="s">
        <v>497</v>
      </c>
      <c r="Z16" s="11"/>
      <c r="AA16" s="11"/>
      <c r="AB16" s="5"/>
    </row>
    <row r="17" spans="1:28" ht="20.149999999999999" customHeight="1">
      <c r="A17" s="13" t="s">
        <v>498</v>
      </c>
      <c r="B17" s="39"/>
      <c r="C17" s="54">
        <v>877</v>
      </c>
      <c r="D17" s="100" t="s">
        <v>499</v>
      </c>
      <c r="E17" s="100" t="s">
        <v>279</v>
      </c>
      <c r="F17" s="12" t="s">
        <v>279</v>
      </c>
      <c r="G17" s="21" t="s">
        <v>279</v>
      </c>
      <c r="H17" s="21" t="s">
        <v>279</v>
      </c>
      <c r="I17" s="21" t="s">
        <v>279</v>
      </c>
      <c r="J17" s="16" t="s">
        <v>279</v>
      </c>
      <c r="K17" s="15" t="s">
        <v>279</v>
      </c>
      <c r="L17" s="16" t="s">
        <v>279</v>
      </c>
      <c r="M17" s="11"/>
      <c r="N17" s="15" t="s">
        <v>279</v>
      </c>
      <c r="O17" s="15" t="s">
        <v>279</v>
      </c>
      <c r="P17" s="15" t="s">
        <v>279</v>
      </c>
      <c r="Q17" s="15" t="s">
        <v>279</v>
      </c>
      <c r="R17" s="15" t="s">
        <v>279</v>
      </c>
      <c r="S17" s="15" t="s">
        <v>279</v>
      </c>
      <c r="T17" s="15" t="s">
        <v>279</v>
      </c>
      <c r="U17" s="15" t="s">
        <v>279</v>
      </c>
      <c r="V17" s="15" t="s">
        <v>279</v>
      </c>
      <c r="W17" s="15" t="s">
        <v>279</v>
      </c>
      <c r="X17" s="15" t="s">
        <v>279</v>
      </c>
      <c r="Y17" s="15" t="s">
        <v>279</v>
      </c>
      <c r="Z17" s="12"/>
      <c r="AA17" s="12"/>
      <c r="AB17" s="5"/>
    </row>
    <row r="18" spans="1:28" ht="24.75" customHeight="1">
      <c r="A18" s="13" t="s">
        <v>198</v>
      </c>
      <c r="B18" s="39"/>
      <c r="C18" s="100" t="s">
        <v>279</v>
      </c>
      <c r="D18" s="100" t="s">
        <v>279</v>
      </c>
      <c r="E18" s="100" t="s">
        <v>279</v>
      </c>
      <c r="F18" s="100" t="s">
        <v>279</v>
      </c>
      <c r="G18" s="100" t="s">
        <v>279</v>
      </c>
      <c r="H18" s="100" t="s">
        <v>279</v>
      </c>
      <c r="I18" s="100" t="s">
        <v>279</v>
      </c>
      <c r="J18" s="100" t="s">
        <v>279</v>
      </c>
      <c r="K18" s="100" t="s">
        <v>279</v>
      </c>
      <c r="L18" s="54">
        <v>34</v>
      </c>
      <c r="M18" s="11">
        <v>144</v>
      </c>
      <c r="N18" s="100" t="s">
        <v>500</v>
      </c>
      <c r="O18" s="89" t="s">
        <v>501</v>
      </c>
      <c r="P18" s="15" t="s">
        <v>502</v>
      </c>
      <c r="Q18" s="15" t="s">
        <v>503</v>
      </c>
      <c r="R18" s="15" t="s">
        <v>504</v>
      </c>
      <c r="S18" s="100" t="s">
        <v>505</v>
      </c>
      <c r="T18" s="15" t="s">
        <v>506</v>
      </c>
      <c r="U18" s="15" t="s">
        <v>507</v>
      </c>
      <c r="V18" s="16" t="s">
        <v>508</v>
      </c>
      <c r="W18" s="16" t="s">
        <v>509</v>
      </c>
      <c r="X18" s="16" t="s">
        <v>510</v>
      </c>
      <c r="Y18" s="16" t="s">
        <v>511</v>
      </c>
      <c r="Z18" s="11"/>
      <c r="AA18" s="11"/>
      <c r="AB18" s="5"/>
    </row>
    <row r="19" spans="1:28" ht="20.149999999999999" customHeight="1">
      <c r="A19" s="13" t="s">
        <v>512</v>
      </c>
      <c r="B19" s="39"/>
      <c r="C19" s="106" t="s">
        <v>513</v>
      </c>
      <c r="D19" s="106" t="s">
        <v>514</v>
      </c>
      <c r="E19" s="106" t="s">
        <v>515</v>
      </c>
      <c r="F19" s="107" t="s">
        <v>516</v>
      </c>
      <c r="G19" s="106" t="s">
        <v>517</v>
      </c>
      <c r="H19" s="106" t="s">
        <v>518</v>
      </c>
      <c r="I19" s="106" t="s">
        <v>519</v>
      </c>
      <c r="J19" s="109" t="s">
        <v>520</v>
      </c>
      <c r="K19" s="107" t="s">
        <v>521</v>
      </c>
      <c r="L19" s="109" t="s">
        <v>522</v>
      </c>
      <c r="M19" s="109" t="s">
        <v>523</v>
      </c>
      <c r="N19" s="107" t="s">
        <v>524</v>
      </c>
      <c r="O19" s="107" t="s">
        <v>525</v>
      </c>
      <c r="P19" s="107" t="s">
        <v>526</v>
      </c>
      <c r="Q19" s="107" t="s">
        <v>527</v>
      </c>
      <c r="R19" s="107" t="s">
        <v>528</v>
      </c>
      <c r="S19" s="107" t="s">
        <v>529</v>
      </c>
      <c r="T19" s="107" t="s">
        <v>530</v>
      </c>
      <c r="U19" s="107" t="s">
        <v>531</v>
      </c>
      <c r="V19" s="109" t="s">
        <v>532</v>
      </c>
      <c r="W19" s="109" t="s">
        <v>533</v>
      </c>
      <c r="X19" s="109" t="s">
        <v>534</v>
      </c>
      <c r="Y19" s="109" t="s">
        <v>535</v>
      </c>
      <c r="Z19" s="11"/>
      <c r="AA19" s="11"/>
      <c r="AB19" s="5"/>
    </row>
    <row r="20" spans="1:28" s="3" customFormat="1" ht="20.149999999999999" customHeight="1">
      <c r="A20" s="20" t="s">
        <v>536</v>
      </c>
      <c r="B20" s="110"/>
      <c r="C20" s="23" t="s">
        <v>537</v>
      </c>
      <c r="D20" s="23" t="s">
        <v>538</v>
      </c>
      <c r="E20" s="24" t="s">
        <v>539</v>
      </c>
      <c r="F20" s="111" t="s">
        <v>540</v>
      </c>
      <c r="G20" s="111" t="s">
        <v>541</v>
      </c>
      <c r="H20" s="111" t="s">
        <v>542</v>
      </c>
      <c r="I20" s="111" t="s">
        <v>543</v>
      </c>
      <c r="J20" s="10" t="s">
        <v>544</v>
      </c>
      <c r="K20" s="111" t="s">
        <v>545</v>
      </c>
      <c r="L20" s="10" t="s">
        <v>546</v>
      </c>
      <c r="M20" s="10" t="s">
        <v>547</v>
      </c>
      <c r="N20" s="113" t="s">
        <v>548</v>
      </c>
      <c r="O20" s="113" t="s">
        <v>549</v>
      </c>
      <c r="P20" s="113" t="s">
        <v>550</v>
      </c>
      <c r="Q20" s="113" t="s">
        <v>551</v>
      </c>
      <c r="R20" s="113" t="s">
        <v>552</v>
      </c>
      <c r="S20" s="10" t="s">
        <v>553</v>
      </c>
      <c r="T20" s="10" t="s">
        <v>554</v>
      </c>
      <c r="U20" s="10" t="s">
        <v>555</v>
      </c>
      <c r="V20" s="120" t="s">
        <v>556</v>
      </c>
      <c r="W20" s="120" t="s">
        <v>557</v>
      </c>
      <c r="X20" s="120" t="s">
        <v>558</v>
      </c>
      <c r="Y20" s="120" t="s">
        <v>559</v>
      </c>
      <c r="Z20" s="10"/>
      <c r="AA20" s="10"/>
    </row>
    <row r="21" spans="1:28" s="3" customFormat="1" ht="20.149999999999999" customHeight="1">
      <c r="A21" s="20" t="s">
        <v>560</v>
      </c>
      <c r="B21" s="110"/>
      <c r="C21" s="23" t="s">
        <v>561</v>
      </c>
      <c r="D21" s="23" t="s">
        <v>562</v>
      </c>
      <c r="E21" s="24" t="s">
        <v>563</v>
      </c>
      <c r="F21" s="111" t="s">
        <v>564</v>
      </c>
      <c r="G21" s="111" t="s">
        <v>565</v>
      </c>
      <c r="H21" s="111" t="s">
        <v>566</v>
      </c>
      <c r="I21" s="111" t="s">
        <v>567</v>
      </c>
      <c r="J21" s="10" t="s">
        <v>568</v>
      </c>
      <c r="K21" s="111" t="s">
        <v>569</v>
      </c>
      <c r="L21" s="111" t="s">
        <v>570</v>
      </c>
      <c r="M21" s="10" t="s">
        <v>571</v>
      </c>
      <c r="N21" s="113" t="s">
        <v>572</v>
      </c>
      <c r="O21" s="113" t="s">
        <v>573</v>
      </c>
      <c r="P21" s="113" t="s">
        <v>574</v>
      </c>
      <c r="Q21" s="113" t="s">
        <v>575</v>
      </c>
      <c r="R21" s="113" t="s">
        <v>576</v>
      </c>
      <c r="S21" s="113" t="s">
        <v>577</v>
      </c>
      <c r="T21" s="113" t="s">
        <v>578</v>
      </c>
      <c r="U21" s="10" t="s">
        <v>579</v>
      </c>
      <c r="V21" s="120" t="s">
        <v>580</v>
      </c>
      <c r="W21" s="120" t="s">
        <v>581</v>
      </c>
      <c r="X21" s="120" t="s">
        <v>582</v>
      </c>
      <c r="Y21" s="120" t="s">
        <v>583</v>
      </c>
      <c r="Z21" s="10"/>
      <c r="AA21" s="10"/>
    </row>
    <row r="22" spans="1:28" ht="20.149999999999999" customHeight="1">
      <c r="A22" s="13" t="s">
        <v>193</v>
      </c>
      <c r="B22" s="39"/>
      <c r="C22" s="100" t="s">
        <v>584</v>
      </c>
      <c r="D22" s="100" t="s">
        <v>585</v>
      </c>
      <c r="E22" s="100" t="s">
        <v>586</v>
      </c>
      <c r="F22" s="121" t="s">
        <v>587</v>
      </c>
      <c r="G22" s="12" t="s">
        <v>588</v>
      </c>
      <c r="H22" s="12" t="s">
        <v>589</v>
      </c>
      <c r="I22" s="14" t="s">
        <v>590</v>
      </c>
      <c r="J22" s="11" t="s">
        <v>591</v>
      </c>
      <c r="K22" s="12" t="s">
        <v>592</v>
      </c>
      <c r="L22" s="11" t="s">
        <v>593</v>
      </c>
      <c r="M22" s="11" t="s">
        <v>594</v>
      </c>
      <c r="N22" s="15" t="s">
        <v>595</v>
      </c>
      <c r="O22" s="15" t="s">
        <v>596</v>
      </c>
      <c r="P22" s="15" t="s">
        <v>597</v>
      </c>
      <c r="Q22" s="15" t="s">
        <v>598</v>
      </c>
      <c r="R22" s="15" t="s">
        <v>599</v>
      </c>
      <c r="S22" s="89">
        <v>971</v>
      </c>
      <c r="T22" s="15" t="s">
        <v>600</v>
      </c>
      <c r="U22" s="89">
        <v>485</v>
      </c>
      <c r="V22" s="16">
        <v>312</v>
      </c>
      <c r="W22" s="16" t="s">
        <v>601</v>
      </c>
      <c r="X22" s="16" t="s">
        <v>602</v>
      </c>
      <c r="Y22" s="16" t="s">
        <v>603</v>
      </c>
      <c r="Z22" s="11"/>
      <c r="AA22" s="11"/>
    </row>
    <row r="23" spans="1:28" ht="20.149999999999999" customHeight="1">
      <c r="A23" s="13" t="s">
        <v>192</v>
      </c>
      <c r="B23" s="39"/>
      <c r="C23" s="100" t="s">
        <v>604</v>
      </c>
      <c r="D23" s="100" t="s">
        <v>605</v>
      </c>
      <c r="E23" s="100" t="s">
        <v>606</v>
      </c>
      <c r="F23" s="121" t="s">
        <v>607</v>
      </c>
      <c r="G23" s="12" t="s">
        <v>608</v>
      </c>
      <c r="H23" s="12" t="s">
        <v>609</v>
      </c>
      <c r="I23" s="12" t="s">
        <v>610</v>
      </c>
      <c r="J23" s="11" t="s">
        <v>611</v>
      </c>
      <c r="K23" s="12" t="s">
        <v>612</v>
      </c>
      <c r="L23" s="11" t="s">
        <v>613</v>
      </c>
      <c r="M23" s="11" t="s">
        <v>614</v>
      </c>
      <c r="N23" s="15" t="s">
        <v>615</v>
      </c>
      <c r="O23" s="15" t="s">
        <v>616</v>
      </c>
      <c r="P23" s="15" t="s">
        <v>617</v>
      </c>
      <c r="Q23" s="15" t="s">
        <v>618</v>
      </c>
      <c r="R23" s="15" t="s">
        <v>619</v>
      </c>
      <c r="S23" s="89">
        <v>705</v>
      </c>
      <c r="T23" s="15" t="s">
        <v>620</v>
      </c>
      <c r="U23" s="89">
        <v>947</v>
      </c>
      <c r="V23" s="16" t="s">
        <v>621</v>
      </c>
      <c r="W23" s="16" t="s">
        <v>622</v>
      </c>
      <c r="X23" s="16" t="s">
        <v>623</v>
      </c>
      <c r="Y23" s="16" t="s">
        <v>624</v>
      </c>
      <c r="Z23" s="11"/>
      <c r="AA23" s="11"/>
    </row>
    <row r="24" spans="1:28" ht="30" customHeight="1">
      <c r="A24" s="13" t="s">
        <v>625</v>
      </c>
      <c r="B24" s="39"/>
      <c r="C24" s="100" t="s">
        <v>279</v>
      </c>
      <c r="D24" s="100" t="s">
        <v>279</v>
      </c>
      <c r="E24" s="100" t="s">
        <v>279</v>
      </c>
      <c r="F24" s="100" t="s">
        <v>279</v>
      </c>
      <c r="G24" s="100" t="s">
        <v>279</v>
      </c>
      <c r="H24" s="14">
        <v>17</v>
      </c>
      <c r="I24" s="100" t="s">
        <v>279</v>
      </c>
      <c r="J24" s="11">
        <v>17</v>
      </c>
      <c r="K24" s="100" t="s">
        <v>279</v>
      </c>
      <c r="L24" s="100" t="s">
        <v>279</v>
      </c>
      <c r="M24" s="100" t="s">
        <v>279</v>
      </c>
      <c r="N24" s="100" t="s">
        <v>279</v>
      </c>
      <c r="O24" s="100" t="s">
        <v>279</v>
      </c>
      <c r="P24" s="100" t="s">
        <v>279</v>
      </c>
      <c r="Q24" s="100" t="s">
        <v>279</v>
      </c>
      <c r="R24" s="100" t="s">
        <v>279</v>
      </c>
      <c r="S24" s="100" t="s">
        <v>279</v>
      </c>
      <c r="T24" s="100" t="s">
        <v>279</v>
      </c>
      <c r="U24" s="100" t="s">
        <v>279</v>
      </c>
      <c r="V24" s="100" t="s">
        <v>279</v>
      </c>
      <c r="W24" s="100" t="s">
        <v>279</v>
      </c>
      <c r="X24" s="100" t="s">
        <v>279</v>
      </c>
      <c r="Y24" s="100" t="s">
        <v>279</v>
      </c>
      <c r="Z24" s="21"/>
      <c r="AA24" s="21"/>
    </row>
    <row r="25" spans="1:28" s="3" customFormat="1" ht="20.149999999999999" customHeight="1">
      <c r="A25" s="20" t="s">
        <v>626</v>
      </c>
      <c r="B25" s="110"/>
      <c r="C25" s="23" t="s">
        <v>627</v>
      </c>
      <c r="D25" s="23" t="s">
        <v>628</v>
      </c>
      <c r="E25" s="23" t="s">
        <v>629</v>
      </c>
      <c r="F25" s="122" t="s">
        <v>630</v>
      </c>
      <c r="G25" s="111" t="s">
        <v>631</v>
      </c>
      <c r="H25" s="111" t="s">
        <v>632</v>
      </c>
      <c r="I25" s="111" t="s">
        <v>633</v>
      </c>
      <c r="J25" s="10" t="s">
        <v>634</v>
      </c>
      <c r="K25" s="111" t="s">
        <v>635</v>
      </c>
      <c r="L25" s="111" t="s">
        <v>636</v>
      </c>
      <c r="M25" s="10" t="s">
        <v>637</v>
      </c>
      <c r="N25" s="113" t="s">
        <v>638</v>
      </c>
      <c r="O25" s="113" t="s">
        <v>639</v>
      </c>
      <c r="P25" s="113" t="s">
        <v>640</v>
      </c>
      <c r="Q25" s="113" t="s">
        <v>641</v>
      </c>
      <c r="R25" s="113" t="s">
        <v>642</v>
      </c>
      <c r="S25" s="113" t="s">
        <v>643</v>
      </c>
      <c r="T25" s="113" t="s">
        <v>644</v>
      </c>
      <c r="U25" s="113" t="s">
        <v>645</v>
      </c>
      <c r="V25" s="120" t="s">
        <v>646</v>
      </c>
      <c r="W25" s="120" t="s">
        <v>647</v>
      </c>
      <c r="X25" s="120" t="s">
        <v>648</v>
      </c>
      <c r="Y25" s="120" t="s">
        <v>649</v>
      </c>
      <c r="Z25" s="10"/>
      <c r="AA25" s="10"/>
    </row>
    <row r="26" spans="1:28" ht="20.149999999999999" customHeight="1">
      <c r="A26" s="13" t="s">
        <v>4</v>
      </c>
      <c r="B26" s="39"/>
      <c r="C26" s="100" t="s">
        <v>650</v>
      </c>
      <c r="D26" s="100" t="s">
        <v>651</v>
      </c>
      <c r="E26" s="100" t="s">
        <v>652</v>
      </c>
      <c r="F26" s="123" t="s">
        <v>653</v>
      </c>
      <c r="G26" s="12" t="s">
        <v>654</v>
      </c>
      <c r="H26" s="12" t="s">
        <v>655</v>
      </c>
      <c r="I26" s="12" t="s">
        <v>656</v>
      </c>
      <c r="J26" s="11" t="s">
        <v>657</v>
      </c>
      <c r="K26" s="12" t="s">
        <v>658</v>
      </c>
      <c r="L26" s="11" t="s">
        <v>659</v>
      </c>
      <c r="M26" s="11" t="s">
        <v>660</v>
      </c>
      <c r="N26" s="15" t="s">
        <v>661</v>
      </c>
      <c r="O26" s="15" t="s">
        <v>662</v>
      </c>
      <c r="P26" s="15" t="s">
        <v>663</v>
      </c>
      <c r="Q26" s="15" t="s">
        <v>664</v>
      </c>
      <c r="R26" s="15" t="s">
        <v>665</v>
      </c>
      <c r="S26" s="15" t="s">
        <v>666</v>
      </c>
      <c r="T26" s="15" t="s">
        <v>667</v>
      </c>
      <c r="U26" s="15" t="s">
        <v>668</v>
      </c>
      <c r="V26" s="16" t="s">
        <v>669</v>
      </c>
      <c r="W26" s="16" t="s">
        <v>670</v>
      </c>
      <c r="X26" s="16" t="s">
        <v>671</v>
      </c>
      <c r="Y26" s="16" t="s">
        <v>672</v>
      </c>
      <c r="Z26" s="11"/>
      <c r="AA26" s="11"/>
    </row>
    <row r="27" spans="1:28" s="3" customFormat="1" ht="20.149999999999999" customHeight="1">
      <c r="A27" s="20" t="s">
        <v>673</v>
      </c>
      <c r="B27" s="124"/>
      <c r="C27" s="23" t="s">
        <v>674</v>
      </c>
      <c r="D27" s="23" t="s">
        <v>675</v>
      </c>
      <c r="E27" s="23" t="s">
        <v>676</v>
      </c>
      <c r="F27" s="122" t="s">
        <v>677</v>
      </c>
      <c r="G27" s="125" t="s">
        <v>678</v>
      </c>
      <c r="H27" s="125" t="s">
        <v>679</v>
      </c>
      <c r="I27" s="125" t="s">
        <v>680</v>
      </c>
      <c r="J27" s="10" t="s">
        <v>681</v>
      </c>
      <c r="K27" s="111" t="s">
        <v>682</v>
      </c>
      <c r="L27" s="111" t="s">
        <v>683</v>
      </c>
      <c r="M27" s="10" t="s">
        <v>684</v>
      </c>
      <c r="N27" s="113" t="s">
        <v>685</v>
      </c>
      <c r="O27" s="113" t="s">
        <v>686</v>
      </c>
      <c r="P27" s="113" t="s">
        <v>687</v>
      </c>
      <c r="Q27" s="113" t="s">
        <v>688</v>
      </c>
      <c r="R27" s="113" t="s">
        <v>689</v>
      </c>
      <c r="S27" s="113" t="s">
        <v>690</v>
      </c>
      <c r="T27" s="113" t="s">
        <v>691</v>
      </c>
      <c r="U27" s="113" t="s">
        <v>692</v>
      </c>
      <c r="V27" s="120" t="s">
        <v>693</v>
      </c>
      <c r="W27" s="120" t="s">
        <v>694</v>
      </c>
      <c r="X27" s="120" t="s">
        <v>695</v>
      </c>
      <c r="Y27" s="120" t="s">
        <v>696</v>
      </c>
      <c r="Z27" s="10"/>
      <c r="AA27" s="10"/>
    </row>
    <row r="28" spans="1:28" ht="20.149999999999999" customHeight="1">
      <c r="A28" s="13" t="s">
        <v>697</v>
      </c>
      <c r="B28" s="39"/>
      <c r="C28" s="100" t="s">
        <v>698</v>
      </c>
      <c r="D28" s="100" t="s">
        <v>279</v>
      </c>
      <c r="E28" s="54">
        <v>-112</v>
      </c>
      <c r="F28" s="126">
        <v>8</v>
      </c>
      <c r="G28" s="85">
        <v>19</v>
      </c>
      <c r="H28" s="85">
        <v>-19</v>
      </c>
      <c r="I28" s="100" t="s">
        <v>279</v>
      </c>
      <c r="J28" s="11">
        <v>8</v>
      </c>
      <c r="K28" s="15" t="s">
        <v>279</v>
      </c>
      <c r="L28" s="100" t="s">
        <v>279</v>
      </c>
      <c r="M28" s="15" t="s">
        <v>279</v>
      </c>
      <c r="N28" s="15" t="s">
        <v>279</v>
      </c>
      <c r="O28" s="113" t="s">
        <v>279</v>
      </c>
      <c r="P28" s="113" t="s">
        <v>279</v>
      </c>
      <c r="Q28" s="113" t="s">
        <v>279</v>
      </c>
      <c r="R28" s="113" t="s">
        <v>279</v>
      </c>
      <c r="S28" s="113" t="s">
        <v>279</v>
      </c>
      <c r="T28" s="113" t="s">
        <v>279</v>
      </c>
      <c r="U28" s="113" t="s">
        <v>279</v>
      </c>
      <c r="V28" s="100" t="s">
        <v>279</v>
      </c>
      <c r="W28" s="100" t="s">
        <v>279</v>
      </c>
      <c r="X28" s="100" t="s">
        <v>279</v>
      </c>
      <c r="Y28" s="100" t="s">
        <v>279</v>
      </c>
      <c r="Z28" s="21"/>
      <c r="AA28" s="21"/>
    </row>
    <row r="29" spans="1:28" s="3" customFormat="1" ht="20.149999999999999" customHeight="1">
      <c r="A29" s="20" t="s">
        <v>699</v>
      </c>
      <c r="B29" s="110"/>
      <c r="C29" s="23" t="s">
        <v>674</v>
      </c>
      <c r="D29" s="23" t="s">
        <v>675</v>
      </c>
      <c r="E29" s="23" t="s">
        <v>700</v>
      </c>
      <c r="F29" s="122" t="s">
        <v>701</v>
      </c>
      <c r="G29" s="24" t="s">
        <v>702</v>
      </c>
      <c r="H29" s="24" t="s">
        <v>703</v>
      </c>
      <c r="I29" s="24" t="s">
        <v>680</v>
      </c>
      <c r="J29" s="10" t="s">
        <v>704</v>
      </c>
      <c r="K29" s="10" t="s">
        <v>682</v>
      </c>
      <c r="L29" s="10" t="s">
        <v>683</v>
      </c>
      <c r="M29" s="10" t="s">
        <v>684</v>
      </c>
      <c r="N29" s="113" t="s">
        <v>685</v>
      </c>
      <c r="O29" s="113" t="s">
        <v>686</v>
      </c>
      <c r="P29" s="113" t="s">
        <v>687</v>
      </c>
      <c r="Q29" s="113" t="s">
        <v>688</v>
      </c>
      <c r="R29" s="113" t="s">
        <v>689</v>
      </c>
      <c r="S29" s="113" t="s">
        <v>690</v>
      </c>
      <c r="T29" s="113" t="s">
        <v>691</v>
      </c>
      <c r="U29" s="113" t="s">
        <v>692</v>
      </c>
      <c r="V29" s="120" t="s">
        <v>693</v>
      </c>
      <c r="W29" s="120" t="s">
        <v>694</v>
      </c>
      <c r="X29" s="120" t="s">
        <v>695</v>
      </c>
      <c r="Y29" s="120" t="s">
        <v>696</v>
      </c>
      <c r="Z29" s="10"/>
      <c r="AA29" s="10"/>
    </row>
    <row r="30" spans="1:28" ht="20.149999999999999" customHeight="1">
      <c r="A30" s="39"/>
      <c r="B30" s="39"/>
      <c r="C30" s="21"/>
      <c r="D30" s="21"/>
      <c r="E30" s="21"/>
      <c r="F30" s="127"/>
      <c r="G30" s="127"/>
      <c r="H30" s="127"/>
      <c r="I30" s="127"/>
      <c r="J30" s="11"/>
      <c r="K30" s="127"/>
      <c r="L30" s="127"/>
      <c r="M30" s="113"/>
      <c r="N30" s="113"/>
      <c r="O30" s="113"/>
      <c r="P30" s="15"/>
      <c r="Q30" s="113"/>
      <c r="S30" s="128"/>
      <c r="T30" s="129"/>
      <c r="U30" s="6"/>
      <c r="V30" s="16"/>
      <c r="W30" s="16"/>
      <c r="X30" s="16"/>
      <c r="Y30" s="16"/>
      <c r="Z30" s="11"/>
      <c r="AA30" s="11"/>
    </row>
    <row r="31" spans="1:28" s="3" customFormat="1" ht="20.149999999999999" customHeight="1">
      <c r="A31" s="110" t="s">
        <v>0</v>
      </c>
      <c r="B31" s="110"/>
      <c r="C31" s="23" t="s">
        <v>705</v>
      </c>
      <c r="D31" s="23" t="s">
        <v>706</v>
      </c>
      <c r="E31" s="23" t="s">
        <v>707</v>
      </c>
      <c r="F31" s="111" t="s">
        <v>708</v>
      </c>
      <c r="G31" s="111" t="s">
        <v>709</v>
      </c>
      <c r="H31" s="111" t="s">
        <v>710</v>
      </c>
      <c r="I31" s="111" t="s">
        <v>711</v>
      </c>
      <c r="J31" s="120" t="s">
        <v>712</v>
      </c>
      <c r="K31" s="111" t="s">
        <v>713</v>
      </c>
      <c r="L31" s="111" t="s">
        <v>714</v>
      </c>
      <c r="M31" s="113" t="s">
        <v>715</v>
      </c>
      <c r="N31" s="113" t="s">
        <v>716</v>
      </c>
      <c r="O31" s="113" t="s">
        <v>717</v>
      </c>
      <c r="P31" s="113" t="s">
        <v>718</v>
      </c>
      <c r="Q31" s="113" t="s">
        <v>719</v>
      </c>
      <c r="R31" s="113" t="s">
        <v>720</v>
      </c>
      <c r="S31" s="113" t="s">
        <v>721</v>
      </c>
      <c r="T31" s="113" t="s">
        <v>722</v>
      </c>
      <c r="U31" s="113" t="s">
        <v>723</v>
      </c>
      <c r="V31" s="120" t="s">
        <v>724</v>
      </c>
      <c r="W31" s="120" t="s">
        <v>725</v>
      </c>
      <c r="X31" s="120" t="s">
        <v>726</v>
      </c>
      <c r="Y31" s="120" t="s">
        <v>727</v>
      </c>
      <c r="Z31" s="10"/>
      <c r="AA31" s="10"/>
    </row>
    <row r="32" spans="1:28" s="3" customFormat="1" ht="20.149999999999999" customHeight="1">
      <c r="A32" s="110" t="s">
        <v>5</v>
      </c>
      <c r="B32" s="110"/>
      <c r="C32" s="130">
        <v>0.2956846720587159</v>
      </c>
      <c r="D32" s="130">
        <v>0.16703000215842867</v>
      </c>
      <c r="E32" s="130">
        <v>0.15542677052137041</v>
      </c>
      <c r="F32" s="130">
        <v>0.27125950924716474</v>
      </c>
      <c r="G32" s="130">
        <v>0.32598595103163047</v>
      </c>
      <c r="H32" s="130">
        <v>0.31993153945089781</v>
      </c>
      <c r="I32" s="130">
        <v>-7.7148355786126688E-3</v>
      </c>
      <c r="J32" s="130">
        <v>0.21075548532800192</v>
      </c>
      <c r="K32" s="130">
        <v>0.36562780990406113</v>
      </c>
      <c r="L32" s="130">
        <v>0.38665359308867064</v>
      </c>
      <c r="M32" s="131">
        <v>0.39061125533695207</v>
      </c>
      <c r="N32" s="131">
        <v>0.153408197893913</v>
      </c>
      <c r="O32" s="131">
        <v>0.31665838244692179</v>
      </c>
      <c r="P32" s="131">
        <v>0.30363688263495586</v>
      </c>
      <c r="Q32" s="131">
        <v>0.25339426991821157</v>
      </c>
      <c r="R32" s="131">
        <v>0.26301231042801282</v>
      </c>
      <c r="S32" s="131">
        <v>0.19012111419126257</v>
      </c>
      <c r="T32" s="131">
        <v>0.25115607552737185</v>
      </c>
      <c r="U32" s="131">
        <v>0.32858640199360423</v>
      </c>
      <c r="V32" s="132">
        <v>0.29515430464475312</v>
      </c>
      <c r="W32" s="132">
        <v>0.28499999999999998</v>
      </c>
      <c r="X32" s="132">
        <v>0.191</v>
      </c>
      <c r="Y32" s="132">
        <v>0.27500000000000002</v>
      </c>
      <c r="Z32" s="133"/>
      <c r="AA32" s="133"/>
    </row>
    <row r="33" spans="1:27" ht="28.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N33" s="5"/>
      <c r="O33" s="5"/>
      <c r="P33" s="5"/>
      <c r="Q33" s="5"/>
      <c r="S33" s="5"/>
      <c r="T33" s="5"/>
      <c r="U33" s="5"/>
      <c r="V33" s="16"/>
      <c r="W33" s="5"/>
      <c r="X33" s="16"/>
      <c r="Y33" s="5"/>
      <c r="Z33" s="11"/>
      <c r="AA33" s="39"/>
    </row>
    <row r="34" spans="1:27" ht="28.5" customHeight="1">
      <c r="A34" s="134" t="s">
        <v>728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N34" s="5"/>
      <c r="O34" s="5"/>
      <c r="P34" s="5"/>
      <c r="Q34" s="5"/>
      <c r="S34" s="5"/>
      <c r="T34" s="5"/>
      <c r="U34" s="5"/>
      <c r="V34" s="16"/>
      <c r="W34" s="5"/>
      <c r="X34" s="16"/>
      <c r="Y34" s="5"/>
      <c r="Z34" s="11"/>
      <c r="AA34" s="39"/>
    </row>
    <row r="35" spans="1:27" ht="28.5" customHeight="1">
      <c r="A35" s="134" t="s">
        <v>729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N35" s="5"/>
      <c r="O35" s="5"/>
      <c r="P35" s="5"/>
      <c r="Q35" s="5"/>
      <c r="S35" s="5"/>
      <c r="T35" s="5"/>
      <c r="U35" s="5"/>
      <c r="V35" s="16"/>
      <c r="W35" s="5"/>
      <c r="X35" s="16"/>
      <c r="Y35" s="5"/>
      <c r="Z35" s="11"/>
      <c r="AA35" s="39"/>
    </row>
    <row r="36" spans="1:27" ht="28.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N36" s="5"/>
      <c r="O36" s="5"/>
      <c r="P36" s="5"/>
      <c r="Q36" s="5"/>
      <c r="S36" s="5"/>
      <c r="T36" s="5"/>
      <c r="U36" s="5"/>
      <c r="V36" s="16"/>
      <c r="W36" s="5"/>
      <c r="X36" s="16"/>
      <c r="Y36" s="5"/>
      <c r="Z36" s="11"/>
      <c r="AA36" s="39"/>
    </row>
    <row r="37" spans="1:27" ht="28.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N37" s="5"/>
      <c r="O37" s="5"/>
      <c r="P37" s="5"/>
      <c r="Q37" s="5"/>
      <c r="S37" s="5"/>
      <c r="T37" s="5"/>
      <c r="U37" s="5"/>
      <c r="V37" s="16"/>
      <c r="W37" s="5"/>
      <c r="X37" s="16"/>
      <c r="Y37" s="5"/>
      <c r="Z37" s="11"/>
      <c r="AA37" s="39"/>
    </row>
    <row r="38" spans="1:27" ht="28.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N38" s="5"/>
      <c r="O38" s="5"/>
      <c r="P38" s="5"/>
      <c r="Q38" s="5"/>
      <c r="S38" s="5"/>
      <c r="T38" s="5"/>
      <c r="U38" s="5"/>
      <c r="V38" s="16"/>
      <c r="W38" s="5"/>
      <c r="X38" s="16"/>
      <c r="Y38" s="5"/>
      <c r="Z38" s="11"/>
      <c r="AA38" s="39"/>
    </row>
    <row r="39" spans="1:27" ht="28.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N39" s="5"/>
      <c r="O39" s="5"/>
      <c r="P39" s="5"/>
      <c r="Q39" s="5"/>
      <c r="S39" s="5"/>
      <c r="T39" s="5"/>
      <c r="U39" s="5"/>
      <c r="V39" s="16"/>
      <c r="W39" s="5"/>
      <c r="X39" s="16"/>
      <c r="Y39" s="5"/>
      <c r="Z39" s="11"/>
      <c r="AA39" s="39"/>
    </row>
    <row r="40" spans="1:27" ht="28.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N40" s="5"/>
      <c r="O40" s="5"/>
      <c r="P40" s="5"/>
      <c r="Q40" s="5"/>
      <c r="S40" s="5"/>
      <c r="T40" s="5"/>
      <c r="U40" s="5"/>
      <c r="V40" s="16"/>
      <c r="W40" s="5"/>
      <c r="X40" s="16"/>
      <c r="Y40" s="5"/>
      <c r="Z40" s="11"/>
      <c r="AA40" s="39"/>
    </row>
    <row r="41" spans="1:27" ht="28.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N41" s="5"/>
      <c r="O41" s="5"/>
      <c r="P41" s="5"/>
      <c r="Q41" s="5"/>
      <c r="S41" s="5"/>
      <c r="T41" s="5"/>
      <c r="U41" s="5"/>
      <c r="V41" s="16"/>
      <c r="W41" s="5"/>
      <c r="X41" s="16"/>
      <c r="Y41" s="5"/>
      <c r="Z41" s="11"/>
      <c r="AA41" s="39"/>
    </row>
    <row r="42" spans="1:27" ht="28.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N42" s="5"/>
      <c r="O42" s="5"/>
      <c r="P42" s="5"/>
      <c r="Q42" s="5"/>
      <c r="S42" s="5"/>
      <c r="T42" s="5"/>
      <c r="U42" s="5"/>
      <c r="V42" s="16"/>
      <c r="W42" s="5"/>
      <c r="X42" s="16"/>
      <c r="Y42" s="5"/>
      <c r="Z42" s="11"/>
      <c r="AA42" s="39"/>
    </row>
    <row r="43" spans="1:27" ht="28.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N43" s="5"/>
      <c r="O43" s="5"/>
      <c r="P43" s="5"/>
      <c r="Q43" s="5"/>
      <c r="S43" s="5"/>
      <c r="T43" s="5"/>
      <c r="U43" s="5"/>
      <c r="V43" s="16"/>
      <c r="W43" s="5"/>
      <c r="X43" s="16"/>
      <c r="Y43" s="5"/>
      <c r="Z43" s="11"/>
      <c r="AA43" s="39"/>
    </row>
    <row r="44" spans="1:27" ht="28.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N44" s="5"/>
      <c r="O44" s="5"/>
      <c r="P44" s="5"/>
      <c r="Q44" s="5"/>
      <c r="S44" s="5"/>
      <c r="T44" s="5"/>
      <c r="U44" s="5"/>
      <c r="V44" s="16"/>
      <c r="W44" s="5"/>
      <c r="X44" s="16"/>
      <c r="Y44" s="5"/>
      <c r="Z44" s="11"/>
      <c r="AA44" s="39"/>
    </row>
    <row r="45" spans="1:27" ht="28.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N45" s="5"/>
      <c r="O45" s="5"/>
      <c r="P45" s="5"/>
      <c r="Q45" s="5"/>
      <c r="S45" s="5"/>
      <c r="T45" s="5"/>
      <c r="U45" s="5"/>
      <c r="V45" s="16"/>
      <c r="W45" s="5"/>
      <c r="X45" s="16"/>
      <c r="Y45" s="5"/>
      <c r="Z45" s="11"/>
      <c r="AA45" s="39"/>
    </row>
    <row r="46" spans="1:27" ht="28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N46" s="5"/>
      <c r="O46" s="5"/>
      <c r="P46" s="5"/>
      <c r="Q46" s="5"/>
      <c r="S46" s="5"/>
      <c r="T46" s="5"/>
      <c r="U46" s="5"/>
      <c r="V46" s="16"/>
      <c r="W46" s="5"/>
      <c r="X46" s="16"/>
      <c r="Y46" s="5"/>
      <c r="Z46" s="11"/>
      <c r="AA46" s="39"/>
    </row>
    <row r="47" spans="1:27" ht="28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N47" s="5"/>
      <c r="O47" s="5"/>
      <c r="P47" s="5"/>
      <c r="Q47" s="5"/>
      <c r="S47" s="5"/>
      <c r="T47" s="5"/>
      <c r="U47" s="5"/>
      <c r="V47" s="16"/>
      <c r="W47" s="5"/>
      <c r="X47" s="16"/>
      <c r="Y47" s="5"/>
      <c r="Z47" s="11"/>
      <c r="AA47" s="39"/>
    </row>
    <row r="48" spans="1:27" ht="28.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N48" s="5"/>
      <c r="O48" s="5"/>
      <c r="P48" s="5"/>
      <c r="Q48" s="5"/>
      <c r="S48" s="5"/>
      <c r="T48" s="5"/>
      <c r="U48" s="5"/>
      <c r="V48" s="16"/>
      <c r="W48" s="5"/>
      <c r="X48" s="16"/>
      <c r="Y48" s="5"/>
      <c r="Z48" s="11"/>
      <c r="AA48" s="39"/>
    </row>
    <row r="49" spans="1:27" ht="28.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N49" s="5"/>
      <c r="O49" s="5"/>
      <c r="P49" s="5"/>
      <c r="Q49" s="5"/>
      <c r="S49" s="5"/>
      <c r="T49" s="5"/>
      <c r="U49" s="5"/>
      <c r="V49" s="16"/>
      <c r="W49" s="5"/>
      <c r="X49" s="16"/>
      <c r="Y49" s="5"/>
      <c r="Z49" s="11"/>
      <c r="AA49" s="39"/>
    </row>
    <row r="50" spans="1:27" ht="28.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N50" s="5"/>
      <c r="O50" s="5"/>
      <c r="P50" s="5"/>
      <c r="Q50" s="5"/>
      <c r="S50" s="5"/>
      <c r="T50" s="5"/>
      <c r="U50" s="5"/>
      <c r="V50" s="16"/>
      <c r="W50" s="5"/>
      <c r="X50" s="16"/>
      <c r="Y50" s="5"/>
      <c r="Z50" s="11"/>
      <c r="AA50" s="39"/>
    </row>
    <row r="51" spans="1:27" ht="28.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N51" s="5"/>
      <c r="O51" s="5"/>
      <c r="P51" s="5"/>
      <c r="Q51" s="5"/>
      <c r="S51" s="5"/>
      <c r="T51" s="5"/>
      <c r="U51" s="5"/>
      <c r="V51" s="16"/>
      <c r="W51" s="5"/>
      <c r="X51" s="16"/>
      <c r="Y51" s="5"/>
      <c r="Z51" s="11"/>
      <c r="AA51" s="39"/>
    </row>
  </sheetData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5</vt:i4>
      </vt:variant>
    </vt:vector>
  </HeadingPairs>
  <TitlesOfParts>
    <vt:vector size="11" baseType="lpstr">
      <vt:lpstr>Rach. zysków i strat-nowy układ</vt:lpstr>
      <vt:lpstr>Bilans</vt:lpstr>
      <vt:lpstr>Rachunek przepływów pieniężnych</vt:lpstr>
      <vt:lpstr>wskaźniki</vt:lpstr>
      <vt:lpstr>Rach. zysków i strat-do 1Q2014</vt:lpstr>
      <vt:lpstr>Rachunek zysków i strat-do 2010</vt:lpstr>
      <vt:lpstr>Bilans!Obszar_wydruku</vt:lpstr>
      <vt:lpstr>'Rach. zysków i strat-do 1Q2014'!Obszar_wydruku</vt:lpstr>
      <vt:lpstr>'Rach. zysków i strat-nowy układ'!Obszar_wydruku</vt:lpstr>
      <vt:lpstr>'Rachunek przepływów pieniężnych'!Obszar_wydruku</vt:lpstr>
      <vt:lpstr>'Rachunek przepływów pieniężnych'!OLE_LINK3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Anna Kuchnio</cp:lastModifiedBy>
  <cp:lastPrinted>2018-03-20T12:27:34Z</cp:lastPrinted>
  <dcterms:created xsi:type="dcterms:W3CDTF">2008-08-25T12:12:22Z</dcterms:created>
  <dcterms:modified xsi:type="dcterms:W3CDTF">2018-05-10T07:41:59Z</dcterms:modified>
</cp:coreProperties>
</file>