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Bilans" sheetId="1" r:id="rId1"/>
  </sheets>
  <definedNames>
    <definedName name="_xlnm.Print_Area" localSheetId="0">Bilans!$A$2:$AD$74</definedName>
  </definedNames>
  <calcPr calcId="145621"/>
</workbook>
</file>

<file path=xl/calcChain.xml><?xml version="1.0" encoding="utf-8"?>
<calcChain xmlns="http://schemas.openxmlformats.org/spreadsheetml/2006/main">
  <c r="A76" i="1" l="1"/>
  <c r="R62" i="1" s="1"/>
  <c r="AJ64" i="1"/>
  <c r="AI64" i="1"/>
  <c r="AH64" i="1"/>
  <c r="AH65" i="1" s="1"/>
  <c r="AG64" i="1"/>
  <c r="AF64" i="1"/>
  <c r="AE64" i="1"/>
  <c r="AD64" i="1"/>
  <c r="AD65" i="1" s="1"/>
  <c r="AC64" i="1"/>
  <c r="AB64" i="1"/>
  <c r="AA64" i="1"/>
  <c r="Z64" i="1"/>
  <c r="Z65" i="1" s="1"/>
  <c r="D63" i="1"/>
  <c r="X62" i="1"/>
  <c r="P62" i="1"/>
  <c r="N62" i="1"/>
  <c r="J62" i="1"/>
  <c r="F62" i="1"/>
  <c r="D62" i="1"/>
  <c r="Y61" i="1"/>
  <c r="T61" i="1"/>
  <c r="R61" i="1"/>
  <c r="Q61" i="1"/>
  <c r="L61" i="1"/>
  <c r="I61" i="1"/>
  <c r="F61" i="1"/>
  <c r="B61" i="1"/>
  <c r="V60" i="1"/>
  <c r="U60" i="1"/>
  <c r="P60" i="1"/>
  <c r="N60" i="1"/>
  <c r="F60" i="1"/>
  <c r="T58" i="1"/>
  <c r="S58" i="1"/>
  <c r="O58" i="1"/>
  <c r="L58" i="1"/>
  <c r="H58" i="1"/>
  <c r="G58" i="1"/>
  <c r="B58" i="1"/>
  <c r="W56" i="1"/>
  <c r="V56" i="1"/>
  <c r="P56" i="1"/>
  <c r="O56" i="1"/>
  <c r="K56" i="1"/>
  <c r="G56" i="1"/>
  <c r="Y55" i="1"/>
  <c r="W55" i="1"/>
  <c r="Q55" i="1"/>
  <c r="P55" i="1"/>
  <c r="O55" i="1"/>
  <c r="U54" i="1"/>
  <c r="S54" i="1"/>
  <c r="P54" i="1"/>
  <c r="L54" i="1"/>
  <c r="H54" i="1"/>
  <c r="G54" i="1"/>
  <c r="AJ53" i="1"/>
  <c r="AI53" i="1"/>
  <c r="AH53" i="1"/>
  <c r="AG53" i="1"/>
  <c r="AF53" i="1"/>
  <c r="AE53" i="1"/>
  <c r="AD53" i="1"/>
  <c r="AC53" i="1"/>
  <c r="AB53" i="1"/>
  <c r="AA53" i="1"/>
  <c r="Z53" i="1"/>
  <c r="V51" i="1"/>
  <c r="S51" i="1"/>
  <c r="P51" i="1"/>
  <c r="K51" i="1"/>
  <c r="J51" i="1"/>
  <c r="H51" i="1"/>
  <c r="C51" i="1"/>
  <c r="C53" i="1" s="1"/>
  <c r="X50" i="1"/>
  <c r="V50" i="1"/>
  <c r="R50" i="1"/>
  <c r="W49" i="1"/>
  <c r="U49" i="1"/>
  <c r="P49" i="1"/>
  <c r="O49" i="1"/>
  <c r="L49" i="1"/>
  <c r="G49" i="1"/>
  <c r="E49" i="1"/>
  <c r="X47" i="1"/>
  <c r="V47" i="1"/>
  <c r="R47" i="1"/>
  <c r="P47" i="1"/>
  <c r="K47" i="1"/>
  <c r="H47" i="1"/>
  <c r="G47" i="1"/>
  <c r="Y46" i="1"/>
  <c r="X46" i="1"/>
  <c r="U46" i="1"/>
  <c r="R46" i="1"/>
  <c r="P46" i="1"/>
  <c r="N46" i="1"/>
  <c r="V45" i="1"/>
  <c r="U45" i="1"/>
  <c r="T45" i="1"/>
  <c r="P45" i="1"/>
  <c r="N45" i="1"/>
  <c r="G45" i="1"/>
  <c r="D45" i="1"/>
  <c r="AA44" i="1"/>
  <c r="Y43" i="1"/>
  <c r="X43" i="1"/>
  <c r="W43" i="1"/>
  <c r="D43" i="1"/>
  <c r="C43" i="1"/>
  <c r="AJ42" i="1"/>
  <c r="AJ44" i="1" s="1"/>
  <c r="AI42" i="1"/>
  <c r="AI44" i="1" s="1"/>
  <c r="AH42" i="1"/>
  <c r="AH44" i="1" s="1"/>
  <c r="AG42" i="1"/>
  <c r="AG44" i="1" s="1"/>
  <c r="AF42" i="1"/>
  <c r="AF44" i="1" s="1"/>
  <c r="AE42" i="1"/>
  <c r="AE44" i="1" s="1"/>
  <c r="AD42" i="1"/>
  <c r="AD44" i="1" s="1"/>
  <c r="AC42" i="1"/>
  <c r="AC44" i="1" s="1"/>
  <c r="AB42" i="1"/>
  <c r="AB44" i="1" s="1"/>
  <c r="AA42" i="1"/>
  <c r="Z42" i="1"/>
  <c r="Z44" i="1" s="1"/>
  <c r="X41" i="1"/>
  <c r="V41" i="1"/>
  <c r="S41" i="1"/>
  <c r="R41" i="1"/>
  <c r="N41" i="1"/>
  <c r="L41" i="1"/>
  <c r="K41" i="1"/>
  <c r="G41" i="1"/>
  <c r="F41" i="1"/>
  <c r="C41" i="1"/>
  <c r="W40" i="1"/>
  <c r="U40" i="1"/>
  <c r="S40" i="1"/>
  <c r="N39" i="1"/>
  <c r="Q38" i="1"/>
  <c r="O38" i="1"/>
  <c r="W37" i="1"/>
  <c r="U37" i="1"/>
  <c r="S37" i="1"/>
  <c r="Q36" i="1"/>
  <c r="M36" i="1"/>
  <c r="L36" i="1"/>
  <c r="H36" i="1"/>
  <c r="G36" i="1"/>
  <c r="E36" i="1"/>
  <c r="M35" i="1"/>
  <c r="L35" i="1"/>
  <c r="I35" i="1"/>
  <c r="G35" i="1"/>
  <c r="Y34" i="1"/>
  <c r="X34" i="1"/>
  <c r="T34" i="1"/>
  <c r="R34" i="1"/>
  <c r="Q34" i="1"/>
  <c r="M34" i="1"/>
  <c r="L34" i="1"/>
  <c r="I34" i="1"/>
  <c r="F34" i="1"/>
  <c r="D34" i="1"/>
  <c r="B34" i="1"/>
  <c r="AJ31" i="1"/>
  <c r="AI31" i="1"/>
  <c r="AH31" i="1"/>
  <c r="AG31" i="1"/>
  <c r="AF31" i="1"/>
  <c r="AE31" i="1"/>
  <c r="AD31" i="1"/>
  <c r="AA31" i="1"/>
  <c r="Z31" i="1"/>
  <c r="X30" i="1"/>
  <c r="V30" i="1"/>
  <c r="T30" i="1"/>
  <c r="S30" i="1"/>
  <c r="P30" i="1"/>
  <c r="O30" i="1"/>
  <c r="N30" i="1"/>
  <c r="K30" i="1"/>
  <c r="J30" i="1"/>
  <c r="H30" i="1"/>
  <c r="F30" i="1"/>
  <c r="D30" i="1"/>
  <c r="C30" i="1"/>
  <c r="X29" i="1"/>
  <c r="W29" i="1"/>
  <c r="V29" i="1"/>
  <c r="S29" i="1"/>
  <c r="R29" i="1"/>
  <c r="P29" i="1"/>
  <c r="N29" i="1"/>
  <c r="L29" i="1"/>
  <c r="K29" i="1"/>
  <c r="H29" i="1"/>
  <c r="G29" i="1"/>
  <c r="F29" i="1"/>
  <c r="C29" i="1"/>
  <c r="B29" i="1"/>
  <c r="X28" i="1"/>
  <c r="V28" i="1"/>
  <c r="T28" i="1"/>
  <c r="S28" i="1"/>
  <c r="P28" i="1"/>
  <c r="O28" i="1"/>
  <c r="N28" i="1"/>
  <c r="K28" i="1"/>
  <c r="J28" i="1"/>
  <c r="H28" i="1"/>
  <c r="F28" i="1"/>
  <c r="D28" i="1"/>
  <c r="C28" i="1"/>
  <c r="Y27" i="1"/>
  <c r="X27" i="1"/>
  <c r="W27" i="1"/>
  <c r="T27" i="1"/>
  <c r="S27" i="1"/>
  <c r="Q27" i="1"/>
  <c r="O27" i="1"/>
  <c r="M27" i="1"/>
  <c r="L27" i="1"/>
  <c r="H27" i="1"/>
  <c r="G27" i="1"/>
  <c r="F27" i="1"/>
  <c r="B27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G25" i="1"/>
  <c r="F25" i="1"/>
  <c r="E25" i="1"/>
  <c r="C25" i="1"/>
  <c r="B25" i="1"/>
  <c r="Y24" i="1"/>
  <c r="W24" i="1"/>
  <c r="V24" i="1"/>
  <c r="U24" i="1"/>
  <c r="S24" i="1"/>
  <c r="R24" i="1"/>
  <c r="P24" i="1"/>
  <c r="X23" i="1"/>
  <c r="W23" i="1"/>
  <c r="V23" i="1"/>
  <c r="T23" i="1"/>
  <c r="S23" i="1"/>
  <c r="R23" i="1"/>
  <c r="P23" i="1"/>
  <c r="O23" i="1"/>
  <c r="N23" i="1"/>
  <c r="L23" i="1"/>
  <c r="K23" i="1"/>
  <c r="J23" i="1"/>
  <c r="H23" i="1"/>
  <c r="G23" i="1"/>
  <c r="F23" i="1"/>
  <c r="D23" i="1"/>
  <c r="C23" i="1"/>
  <c r="Y22" i="1"/>
  <c r="W22" i="1"/>
  <c r="V22" i="1"/>
  <c r="U22" i="1"/>
  <c r="S22" i="1"/>
  <c r="R22" i="1"/>
  <c r="Q22" i="1"/>
  <c r="O22" i="1"/>
  <c r="N22" i="1"/>
  <c r="M22" i="1"/>
  <c r="K22" i="1"/>
  <c r="J22" i="1"/>
  <c r="I22" i="1"/>
  <c r="G22" i="1"/>
  <c r="F22" i="1"/>
  <c r="E22" i="1"/>
  <c r="C22" i="1"/>
  <c r="B22" i="1"/>
  <c r="AC21" i="1"/>
  <c r="Y21" i="1"/>
  <c r="X21" i="1"/>
  <c r="W21" i="1"/>
  <c r="U21" i="1"/>
  <c r="T21" i="1"/>
  <c r="S21" i="1"/>
  <c r="Q21" i="1"/>
  <c r="P21" i="1"/>
  <c r="O21" i="1"/>
  <c r="M21" i="1"/>
  <c r="L21" i="1"/>
  <c r="K21" i="1"/>
  <c r="I21" i="1"/>
  <c r="H21" i="1"/>
  <c r="G21" i="1"/>
  <c r="E21" i="1"/>
  <c r="D21" i="1"/>
  <c r="C21" i="1"/>
  <c r="B21" i="1"/>
  <c r="AC20" i="1"/>
  <c r="AC31" i="1" s="1"/>
  <c r="AB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J17" i="1"/>
  <c r="AI17" i="1"/>
  <c r="AH17" i="1"/>
  <c r="AG17" i="1"/>
  <c r="AG32" i="1" s="1"/>
  <c r="AF17" i="1"/>
  <c r="AE17" i="1"/>
  <c r="AE32" i="1" s="1"/>
  <c r="AD17" i="1"/>
  <c r="AC17" i="1"/>
  <c r="AC32" i="1" s="1"/>
  <c r="AB17" i="1"/>
  <c r="AA17" i="1"/>
  <c r="AA32" i="1" s="1"/>
  <c r="Z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M17" i="1" s="1"/>
  <c r="L14" i="1"/>
  <c r="K14" i="1"/>
  <c r="J14" i="1"/>
  <c r="I14" i="1"/>
  <c r="H14" i="1"/>
  <c r="G14" i="1"/>
  <c r="F14" i="1"/>
  <c r="E14" i="1"/>
  <c r="D14" i="1"/>
  <c r="C14" i="1"/>
  <c r="B14" i="1"/>
  <c r="Y12" i="1"/>
  <c r="X12" i="1"/>
  <c r="W12" i="1"/>
  <c r="V12" i="1"/>
  <c r="U12" i="1"/>
  <c r="U17" i="1" s="1"/>
  <c r="T12" i="1"/>
  <c r="S12" i="1"/>
  <c r="R12" i="1"/>
  <c r="P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F17" i="1" s="1"/>
  <c r="E5" i="1"/>
  <c r="D5" i="1"/>
  <c r="C5" i="1"/>
  <c r="B5" i="1"/>
  <c r="Y4" i="1"/>
  <c r="X4" i="1"/>
  <c r="W4" i="1"/>
  <c r="V4" i="1"/>
  <c r="V17" i="1" s="1"/>
  <c r="U4" i="1"/>
  <c r="T4" i="1"/>
  <c r="T17" i="1" s="1"/>
  <c r="S4" i="1"/>
  <c r="R4" i="1"/>
  <c r="R17" i="1" s="1"/>
  <c r="Q4" i="1"/>
  <c r="P4" i="1"/>
  <c r="O4" i="1"/>
  <c r="N4" i="1"/>
  <c r="N17" i="1" s="1"/>
  <c r="M4" i="1"/>
  <c r="L4" i="1"/>
  <c r="L17" i="1" s="1"/>
  <c r="K4" i="1"/>
  <c r="J4" i="1"/>
  <c r="J17" i="1" s="1"/>
  <c r="I4" i="1"/>
  <c r="H4" i="1"/>
  <c r="G4" i="1"/>
  <c r="E4" i="1"/>
  <c r="E17" i="1" s="1"/>
  <c r="D4" i="1"/>
  <c r="C4" i="1"/>
  <c r="B4" i="1"/>
  <c r="AJ32" i="1" l="1"/>
  <c r="AC66" i="1"/>
  <c r="C17" i="1"/>
  <c r="D17" i="1"/>
  <c r="AC65" i="1"/>
  <c r="AG65" i="1"/>
  <c r="AB65" i="1"/>
  <c r="AB66" i="1" s="1"/>
  <c r="AF65" i="1"/>
  <c r="AF66" i="1" s="1"/>
  <c r="AJ65" i="1"/>
  <c r="AJ66" i="1" s="1"/>
  <c r="B17" i="1"/>
  <c r="G17" i="1"/>
  <c r="K17" i="1"/>
  <c r="O17" i="1"/>
  <c r="S17" i="1"/>
  <c r="W17" i="1"/>
  <c r="K31" i="1"/>
  <c r="C27" i="1"/>
  <c r="C31" i="1" s="1"/>
  <c r="C32" i="1" s="1"/>
  <c r="K27" i="1"/>
  <c r="P27" i="1"/>
  <c r="U27" i="1"/>
  <c r="B28" i="1"/>
  <c r="G28" i="1"/>
  <c r="G31" i="1" s="1"/>
  <c r="G32" i="1" s="1"/>
  <c r="L28" i="1"/>
  <c r="R28" i="1"/>
  <c r="W28" i="1"/>
  <c r="D29" i="1"/>
  <c r="J29" i="1"/>
  <c r="O29" i="1"/>
  <c r="O31" i="1" s="1"/>
  <c r="T29" i="1"/>
  <c r="B30" i="1"/>
  <c r="G30" i="1"/>
  <c r="L30" i="1"/>
  <c r="R30" i="1"/>
  <c r="W30" i="1"/>
  <c r="H34" i="1"/>
  <c r="N34" i="1"/>
  <c r="V34" i="1"/>
  <c r="H35" i="1"/>
  <c r="O35" i="1"/>
  <c r="K36" i="1"/>
  <c r="P37" i="1"/>
  <c r="X37" i="1"/>
  <c r="R40" i="1"/>
  <c r="B41" i="1"/>
  <c r="B42" i="1" s="1"/>
  <c r="H41" i="1"/>
  <c r="P41" i="1"/>
  <c r="W41" i="1"/>
  <c r="E45" i="1"/>
  <c r="Q45" i="1"/>
  <c r="Y45" i="1"/>
  <c r="T46" i="1"/>
  <c r="D47" i="1"/>
  <c r="N47" i="1"/>
  <c r="W47" i="1"/>
  <c r="I49" i="1"/>
  <c r="T49" i="1"/>
  <c r="S50" i="1"/>
  <c r="D51" i="1"/>
  <c r="O51" i="1"/>
  <c r="X51" i="1"/>
  <c r="E54" i="1"/>
  <c r="M54" i="1"/>
  <c r="W54" i="1"/>
  <c r="U55" i="1"/>
  <c r="J56" i="1"/>
  <c r="R56" i="1"/>
  <c r="D58" i="1"/>
  <c r="N58" i="1"/>
  <c r="W58" i="1"/>
  <c r="T60" i="1"/>
  <c r="D61" i="1"/>
  <c r="M61" i="1"/>
  <c r="X61" i="1"/>
  <c r="I62" i="1"/>
  <c r="I17" i="1"/>
  <c r="Q17" i="1"/>
  <c r="Y17" i="1"/>
  <c r="X17" i="1"/>
  <c r="H17" i="1"/>
  <c r="P17" i="1"/>
  <c r="AD32" i="1"/>
  <c r="AH32" i="1"/>
  <c r="S31" i="1"/>
  <c r="AA65" i="1"/>
  <c r="AA66" i="1" s="1"/>
  <c r="AE65" i="1"/>
  <c r="AE66" i="1" s="1"/>
  <c r="AF32" i="1"/>
  <c r="B31" i="1"/>
  <c r="B32" i="1" s="1"/>
  <c r="AI65" i="1"/>
  <c r="AI66" i="1" s="1"/>
  <c r="AH66" i="1"/>
  <c r="Z32" i="1"/>
  <c r="L42" i="1"/>
  <c r="L44" i="1" s="1"/>
  <c r="AI32" i="1"/>
  <c r="AG66" i="1"/>
  <c r="AD66" i="1"/>
  <c r="A77" i="1"/>
  <c r="Y62" i="1"/>
  <c r="U62" i="1"/>
  <c r="Q62" i="1"/>
  <c r="W62" i="1"/>
  <c r="S62" i="1"/>
  <c r="O62" i="1"/>
  <c r="K62" i="1"/>
  <c r="G62" i="1"/>
  <c r="C62" i="1"/>
  <c r="W61" i="1"/>
  <c r="S61" i="1"/>
  <c r="O61" i="1"/>
  <c r="K61" i="1"/>
  <c r="G61" i="1"/>
  <c r="C61" i="1"/>
  <c r="W60" i="1"/>
  <c r="S60" i="1"/>
  <c r="O60" i="1"/>
  <c r="Y58" i="1"/>
  <c r="U58" i="1"/>
  <c r="Q58" i="1"/>
  <c r="M58" i="1"/>
  <c r="I58" i="1"/>
  <c r="E58" i="1"/>
  <c r="Y56" i="1"/>
  <c r="U56" i="1"/>
  <c r="Q56" i="1"/>
  <c r="M56" i="1"/>
  <c r="I56" i="1"/>
  <c r="E56" i="1"/>
  <c r="V55" i="1"/>
  <c r="R55" i="1"/>
  <c r="N55" i="1"/>
  <c r="V54" i="1"/>
  <c r="R54" i="1"/>
  <c r="N54" i="1"/>
  <c r="J54" i="1"/>
  <c r="F54" i="1"/>
  <c r="B54" i="1"/>
  <c r="Y51" i="1"/>
  <c r="U51" i="1"/>
  <c r="Q51" i="1"/>
  <c r="M51" i="1"/>
  <c r="I51" i="1"/>
  <c r="E51" i="1"/>
  <c r="Y50" i="1"/>
  <c r="U50" i="1"/>
  <c r="P50" i="1"/>
  <c r="P53" i="1" s="1"/>
  <c r="V49" i="1"/>
  <c r="R49" i="1"/>
  <c r="N49" i="1"/>
  <c r="J49" i="1"/>
  <c r="F49" i="1"/>
  <c r="Y47" i="1"/>
  <c r="U47" i="1"/>
  <c r="Q47" i="1"/>
  <c r="M47" i="1"/>
  <c r="I47" i="1"/>
  <c r="T62" i="1"/>
  <c r="M62" i="1"/>
  <c r="H62" i="1"/>
  <c r="B62" i="1"/>
  <c r="U61" i="1"/>
  <c r="P61" i="1"/>
  <c r="J61" i="1"/>
  <c r="E61" i="1"/>
  <c r="X60" i="1"/>
  <c r="R60" i="1"/>
  <c r="H60" i="1"/>
  <c r="V58" i="1"/>
  <c r="P58" i="1"/>
  <c r="K58" i="1"/>
  <c r="F58" i="1"/>
  <c r="X56" i="1"/>
  <c r="S56" i="1"/>
  <c r="N56" i="1"/>
  <c r="H56" i="1"/>
  <c r="X55" i="1"/>
  <c r="S55" i="1"/>
  <c r="S64" i="1" s="1"/>
  <c r="Y54" i="1"/>
  <c r="T54" i="1"/>
  <c r="O54" i="1"/>
  <c r="I54" i="1"/>
  <c r="D54" i="1"/>
  <c r="D64" i="1" s="1"/>
  <c r="W51" i="1"/>
  <c r="R51" i="1"/>
  <c r="L51" i="1"/>
  <c r="G51" i="1"/>
  <c r="G53" i="1" s="1"/>
  <c r="B51" i="1"/>
  <c r="T50" i="1"/>
  <c r="X49" i="1"/>
  <c r="S49" i="1"/>
  <c r="M49" i="1"/>
  <c r="H49" i="1"/>
  <c r="B49" i="1"/>
  <c r="T47" i="1"/>
  <c r="O47" i="1"/>
  <c r="J47" i="1"/>
  <c r="E47" i="1"/>
  <c r="W46" i="1"/>
  <c r="S46" i="1"/>
  <c r="O46" i="1"/>
  <c r="W45" i="1"/>
  <c r="S45" i="1"/>
  <c r="O45" i="1"/>
  <c r="F45" i="1"/>
  <c r="B43" i="1"/>
  <c r="Y41" i="1"/>
  <c r="U41" i="1"/>
  <c r="Q41" i="1"/>
  <c r="M41" i="1"/>
  <c r="M42" i="1" s="1"/>
  <c r="M44" i="1" s="1"/>
  <c r="I41" i="1"/>
  <c r="E41" i="1"/>
  <c r="X40" i="1"/>
  <c r="X42" i="1" s="1"/>
  <c r="X44" i="1" s="1"/>
  <c r="T40" i="1"/>
  <c r="O39" i="1"/>
  <c r="N38" i="1"/>
  <c r="V37" i="1"/>
  <c r="R37" i="1"/>
  <c r="R42" i="1" s="1"/>
  <c r="R44" i="1" s="1"/>
  <c r="N36" i="1"/>
  <c r="J36" i="1"/>
  <c r="F36" i="1"/>
  <c r="N35" i="1"/>
  <c r="J35" i="1"/>
  <c r="F35" i="1"/>
  <c r="W34" i="1"/>
  <c r="W42" i="1" s="1"/>
  <c r="W44" i="1" s="1"/>
  <c r="S34" i="1"/>
  <c r="S42" i="1" s="1"/>
  <c r="S44" i="1" s="1"/>
  <c r="O34" i="1"/>
  <c r="K34" i="1"/>
  <c r="G34" i="1"/>
  <c r="G42" i="1" s="1"/>
  <c r="G44" i="1" s="1"/>
  <c r="C34" i="1"/>
  <c r="C42" i="1" s="1"/>
  <c r="C44" i="1" s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AB27" i="1"/>
  <c r="V27" i="1"/>
  <c r="V31" i="1" s="1"/>
  <c r="V32" i="1" s="1"/>
  <c r="R27" i="1"/>
  <c r="N27" i="1"/>
  <c r="I27" i="1"/>
  <c r="E27" i="1"/>
  <c r="E31" i="1" s="1"/>
  <c r="E32" i="1" s="1"/>
  <c r="X25" i="1"/>
  <c r="T25" i="1"/>
  <c r="P25" i="1"/>
  <c r="L25" i="1"/>
  <c r="H25" i="1"/>
  <c r="D25" i="1"/>
  <c r="X24" i="1"/>
  <c r="T24" i="1"/>
  <c r="Y23" i="1"/>
  <c r="U23" i="1"/>
  <c r="Q23" i="1"/>
  <c r="M23" i="1"/>
  <c r="M31" i="1" s="1"/>
  <c r="M32" i="1" s="1"/>
  <c r="I23" i="1"/>
  <c r="E23" i="1"/>
  <c r="X22" i="1"/>
  <c r="T22" i="1"/>
  <c r="P22" i="1"/>
  <c r="L22" i="1"/>
  <c r="H22" i="1"/>
  <c r="D22" i="1"/>
  <c r="D31" i="1" s="1"/>
  <c r="AB21" i="1"/>
  <c r="V21" i="1"/>
  <c r="R21" i="1"/>
  <c r="N21" i="1"/>
  <c r="N31" i="1" s="1"/>
  <c r="N32" i="1" s="1"/>
  <c r="J21" i="1"/>
  <c r="J31" i="1" s="1"/>
  <c r="J32" i="1" s="1"/>
  <c r="F21" i="1"/>
  <c r="F31" i="1" s="1"/>
  <c r="F32" i="1" s="1"/>
  <c r="V62" i="1"/>
  <c r="L62" i="1"/>
  <c r="E62" i="1"/>
  <c r="V61" i="1"/>
  <c r="N61" i="1"/>
  <c r="H61" i="1"/>
  <c r="H64" i="1" s="1"/>
  <c r="Y60" i="1"/>
  <c r="Q60" i="1"/>
  <c r="X58" i="1"/>
  <c r="R58" i="1"/>
  <c r="J58" i="1"/>
  <c r="C58" i="1"/>
  <c r="T56" i="1"/>
  <c r="L56" i="1"/>
  <c r="L64" i="1" s="1"/>
  <c r="F56" i="1"/>
  <c r="T55" i="1"/>
  <c r="X54" i="1"/>
  <c r="Q54" i="1"/>
  <c r="Q64" i="1" s="1"/>
  <c r="K54" i="1"/>
  <c r="C54" i="1"/>
  <c r="T51" i="1"/>
  <c r="N51" i="1"/>
  <c r="F51" i="1"/>
  <c r="W50" i="1"/>
  <c r="Y49" i="1"/>
  <c r="Q49" i="1"/>
  <c r="K49" i="1"/>
  <c r="K53" i="1" s="1"/>
  <c r="D49" i="1"/>
  <c r="S47" i="1"/>
  <c r="L47" i="1"/>
  <c r="L53" i="1" s="1"/>
  <c r="F47" i="1"/>
  <c r="V46" i="1"/>
  <c r="V53" i="1" s="1"/>
  <c r="Q46" i="1"/>
  <c r="X45" i="1"/>
  <c r="R45" i="1"/>
  <c r="H45" i="1"/>
  <c r="B45" i="1"/>
  <c r="T41" i="1"/>
  <c r="O41" i="1"/>
  <c r="J41" i="1"/>
  <c r="D41" i="1"/>
  <c r="D42" i="1" s="1"/>
  <c r="D44" i="1" s="1"/>
  <c r="V40" i="1"/>
  <c r="Q39" i="1"/>
  <c r="Y37" i="1"/>
  <c r="T37" i="1"/>
  <c r="O36" i="1"/>
  <c r="I36" i="1"/>
  <c r="I42" i="1" s="1"/>
  <c r="I44" i="1" s="1"/>
  <c r="Q35" i="1"/>
  <c r="K35" i="1"/>
  <c r="E35" i="1"/>
  <c r="U34" i="1"/>
  <c r="P34" i="1"/>
  <c r="J34" i="1"/>
  <c r="E34" i="1"/>
  <c r="E42" i="1" s="1"/>
  <c r="E44" i="1" s="1"/>
  <c r="Z66" i="1"/>
  <c r="K32" i="1" l="1"/>
  <c r="X53" i="1"/>
  <c r="D32" i="1"/>
  <c r="U31" i="1"/>
  <c r="U32" i="1" s="1"/>
  <c r="N42" i="1"/>
  <c r="N44" i="1" s="1"/>
  <c r="E53" i="1"/>
  <c r="I64" i="1"/>
  <c r="P64" i="1"/>
  <c r="J42" i="1"/>
  <c r="J44" i="1" s="1"/>
  <c r="Q53" i="1"/>
  <c r="Q65" i="1" s="1"/>
  <c r="R31" i="1"/>
  <c r="R32" i="1" s="1"/>
  <c r="H31" i="1"/>
  <c r="H32" i="1" s="1"/>
  <c r="X31" i="1"/>
  <c r="X32" i="1" s="1"/>
  <c r="Q31" i="1"/>
  <c r="Q32" i="1" s="1"/>
  <c r="J53" i="1"/>
  <c r="T53" i="1"/>
  <c r="O64" i="1"/>
  <c r="I53" i="1"/>
  <c r="Y53" i="1"/>
  <c r="G64" i="1"/>
  <c r="Y42" i="1"/>
  <c r="Y44" i="1" s="1"/>
  <c r="D53" i="1"/>
  <c r="D65" i="1" s="1"/>
  <c r="D66" i="1" s="1"/>
  <c r="W31" i="1"/>
  <c r="O32" i="1"/>
  <c r="P42" i="1"/>
  <c r="P44" i="1" s="1"/>
  <c r="U42" i="1"/>
  <c r="U44" i="1" s="1"/>
  <c r="Q42" i="1"/>
  <c r="Q44" i="1" s="1"/>
  <c r="R53" i="1"/>
  <c r="R65" i="1" s="1"/>
  <c r="R66" i="1" s="1"/>
  <c r="AB31" i="1"/>
  <c r="AB32" i="1" s="1"/>
  <c r="I31" i="1"/>
  <c r="I32" i="1" s="1"/>
  <c r="Y31" i="1"/>
  <c r="Y32" i="1" s="1"/>
  <c r="G65" i="1"/>
  <c r="G66" i="1" s="1"/>
  <c r="M64" i="1"/>
  <c r="W64" i="1"/>
  <c r="H42" i="1"/>
  <c r="H44" i="1" s="1"/>
  <c r="W32" i="1"/>
  <c r="T31" i="1"/>
  <c r="T32" i="1" s="1"/>
  <c r="W53" i="1"/>
  <c r="U64" i="1"/>
  <c r="U53" i="1"/>
  <c r="N53" i="1"/>
  <c r="B64" i="1"/>
  <c r="S32" i="1"/>
  <c r="Q66" i="1"/>
  <c r="L65" i="1"/>
  <c r="L66" i="1" s="1"/>
  <c r="R64" i="1"/>
  <c r="P65" i="1"/>
  <c r="P66" i="1" s="1"/>
  <c r="T42" i="1"/>
  <c r="T44" i="1" s="1"/>
  <c r="B53" i="1"/>
  <c r="B65" i="1" s="1"/>
  <c r="X64" i="1"/>
  <c r="V42" i="1"/>
  <c r="V44" i="1" s="1"/>
  <c r="F53" i="1"/>
  <c r="I65" i="1"/>
  <c r="I66" i="1" s="1"/>
  <c r="F64" i="1"/>
  <c r="V64" i="1"/>
  <c r="V65" i="1" s="1"/>
  <c r="E64" i="1"/>
  <c r="B44" i="1"/>
  <c r="H53" i="1"/>
  <c r="H65" i="1" s="1"/>
  <c r="H66" i="1" s="1"/>
  <c r="C64" i="1"/>
  <c r="C65" i="1" s="1"/>
  <c r="C66" i="1" s="1"/>
  <c r="L31" i="1"/>
  <c r="L32" i="1" s="1"/>
  <c r="K42" i="1"/>
  <c r="K44" i="1" s="1"/>
  <c r="F42" i="1"/>
  <c r="F44" i="1" s="1"/>
  <c r="O53" i="1"/>
  <c r="O65" i="1" s="1"/>
  <c r="T64" i="1"/>
  <c r="M53" i="1"/>
  <c r="M65" i="1" s="1"/>
  <c r="M66" i="1" s="1"/>
  <c r="J64" i="1"/>
  <c r="J65" i="1" s="1"/>
  <c r="J66" i="1" s="1"/>
  <c r="K64" i="1"/>
  <c r="K65" i="1" s="1"/>
  <c r="P31" i="1"/>
  <c r="P32" i="1" s="1"/>
  <c r="O42" i="1"/>
  <c r="O44" i="1" s="1"/>
  <c r="S53" i="1"/>
  <c r="S65" i="1" s="1"/>
  <c r="S66" i="1" s="1"/>
  <c r="Y64" i="1"/>
  <c r="Y65" i="1" s="1"/>
  <c r="Y66" i="1" s="1"/>
  <c r="N64" i="1"/>
  <c r="N65" i="1" s="1"/>
  <c r="N66" i="1" s="1"/>
  <c r="X65" i="1" l="1"/>
  <c r="X66" i="1" s="1"/>
  <c r="T65" i="1"/>
  <c r="T66" i="1" s="1"/>
  <c r="E65" i="1"/>
  <c r="E66" i="1" s="1"/>
  <c r="U65" i="1"/>
  <c r="U66" i="1" s="1"/>
  <c r="K66" i="1"/>
  <c r="B66" i="1"/>
  <c r="W65" i="1"/>
  <c r="W66" i="1" s="1"/>
  <c r="O66" i="1"/>
  <c r="V66" i="1"/>
  <c r="F65" i="1"/>
  <c r="F66" i="1" s="1"/>
</calcChain>
</file>

<file path=xl/sharedStrings.xml><?xml version="1.0" encoding="utf-8"?>
<sst xmlns="http://schemas.openxmlformats.org/spreadsheetml/2006/main" count="193" uniqueCount="104">
  <si>
    <t>GRUPA KAPITAŁOWA CYFROWY POLSAT S.A.</t>
  </si>
  <si>
    <t>31 marca 2011 r.</t>
  </si>
  <si>
    <t>SKONSOLIDOWANY BILANS
w milionach złotych</t>
  </si>
  <si>
    <t>31 grudnia 2004 r.</t>
  </si>
  <si>
    <t>31 grudnia 2005 r.</t>
  </si>
  <si>
    <t>31 grudnia 2006 r.</t>
  </si>
  <si>
    <t xml:space="preserve"> 31 grudnia 2007 r. </t>
  </si>
  <si>
    <t>30 czerwca 2008 r.</t>
  </si>
  <si>
    <t xml:space="preserve"> 31 grudnia 2008 r. </t>
  </si>
  <si>
    <t>30 czerwca 2009 r.</t>
  </si>
  <si>
    <t>31 grudnia 2009 r.</t>
  </si>
  <si>
    <t>30 czerwca 2010 r.</t>
  </si>
  <si>
    <t>30 września 2010 r</t>
  </si>
  <si>
    <t>31 grudnia 2010 r</t>
  </si>
  <si>
    <t>30 czerwca 2011 r.</t>
  </si>
  <si>
    <t>30 września 2011 r.</t>
  </si>
  <si>
    <t>31 grudnia 2011 r.
przekształcony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</si>
  <si>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</si>
  <si>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</si>
  <si>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</si>
  <si>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</si>
  <si>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</si>
  <si>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</si>
  <si>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</si>
  <si>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</si>
  <si>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</si>
  <si>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 xml:space="preserve">30 czerwca 2014 r. </t>
  </si>
  <si>
    <t>30 września 2014 r.</t>
  </si>
  <si>
    <r>
      <t xml:space="preserve">31 grudnia 2014 r. przekształcony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</si>
  <si>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31 marca 2015 r.</t>
  </si>
  <si>
    <t>30 czerwca 2015 r.</t>
  </si>
  <si>
    <t>30 września 2015 r.</t>
  </si>
  <si>
    <t xml:space="preserve">31 grudnia 2015 r. </t>
  </si>
  <si>
    <t>31 marca 2016 r.</t>
  </si>
  <si>
    <t>30 czerwca 2016 r.</t>
  </si>
  <si>
    <t>30 września 2016 r.</t>
  </si>
  <si>
    <t xml:space="preserve">31 grudnia 2016 r. </t>
  </si>
  <si>
    <t>AKTYWA</t>
  </si>
  <si>
    <t>Zestawy odbiorcze</t>
  </si>
  <si>
    <t>Inne rzeczowe aktywa trwałe</t>
  </si>
  <si>
    <t>Wartość firmy</t>
  </si>
  <si>
    <t>Relacje z klientami</t>
  </si>
  <si>
    <t>Marki</t>
  </si>
  <si>
    <t xml:space="preserve">Inne wartości niematerialne </t>
  </si>
  <si>
    <t>Długoterminowe aktywa programowe</t>
  </si>
  <si>
    <t>Nieruchomości inwestycyjne</t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</si>
  <si>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</si>
  <si>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t>1)</t>
  </si>
  <si>
    <t>Opcja wcześniejszej spłaty obligacji</t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</si>
  <si>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</t>
    </r>
  </si>
  <si>
    <t>w tym aktywa z tytułu instrumentów pochodnych</t>
  </si>
  <si>
    <t>Aktywa z tytułu odroczonego podatku dochodowego</t>
  </si>
  <si>
    <t>Aktywa trwałe razem</t>
  </si>
  <si>
    <t>Krótkoterminowe aktywa programowe</t>
  </si>
  <si>
    <t>Zapasy</t>
  </si>
  <si>
    <t>Pożyczki udzielone jednostkom powiązanym</t>
  </si>
  <si>
    <t>Obligacje</t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</si>
  <si>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</si>
  <si>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t>Należności z tytułu podatku dochodowego</t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</si>
  <si>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</si>
  <si>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</si>
  <si>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t>Lokaty krótkoterminowe</t>
  </si>
  <si>
    <t>-</t>
  </si>
  <si>
    <t>Środki pieniężne i ich ekwiwalenty</t>
  </si>
  <si>
    <t>Środki pieniężne o ograniczonej możliwości dysponowania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</si>
  <si>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</si>
  <si>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</si>
  <si>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</si>
  <si>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</si>
  <si>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</si>
  <si>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</si>
  <si>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3)</t>
  </si>
  <si>
    <t>Kapitał rezerwowy</t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</si>
  <si>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</si>
  <si>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t>Kapitał z aktualizacji wyceny instrumentów zabezpieczających</t>
  </si>
  <si>
    <t>Różnice kursowe z przeliczenia jednostek działających za granicą</t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</si>
  <si>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</si>
  <si>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t>Zyski/(straty) zatrzymane</t>
  </si>
  <si>
    <t>Kapitał przypadający na akcjonariuszy Jednostki Dominującej</t>
  </si>
  <si>
    <t>Udziały niekontrolujące</t>
  </si>
  <si>
    <t>Kapitał własny razem</t>
  </si>
  <si>
    <t>Zobowiązania z tytułu kredytów i pożyczek</t>
  </si>
  <si>
    <t xml:space="preserve">Zobowiązania z tytułu obligacji </t>
  </si>
  <si>
    <t>Zobowiązania z tytułu leasingu finansowego</t>
  </si>
  <si>
    <t>Zobowiązania z tytułu koncesji UMTS</t>
  </si>
  <si>
    <t>Zobowiązania z tytułu odroczonego podatku dochodowego</t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</si>
  <si>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</si>
  <si>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</si>
  <si>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Inne długoterminowe zobowiązania i rezerwy</t>
  </si>
  <si>
    <t>w tym zobowiązania z tytułu instrumentów pochodnych</t>
  </si>
  <si>
    <t>Zobowiązania długoterminowe razem</t>
  </si>
  <si>
    <t xml:space="preserve">Zobowiązania z tytułu dostaw i usług oraz pozostałe zobowiązania </t>
  </si>
  <si>
    <t>Zobowiązania z tytułu podatku dochodowego</t>
  </si>
  <si>
    <t>Kaucje otrzymane za wydany sprzęt</t>
  </si>
  <si>
    <t>5)</t>
  </si>
  <si>
    <t>Zobowiązania związane z aktywami trwałymi przeznaczonymi do sprzedaży</t>
  </si>
  <si>
    <t>Zobowiązania krótkoterminowe razem</t>
  </si>
  <si>
    <t>Zobowiązania razem</t>
  </si>
  <si>
    <t>PASYWA RAZEM</t>
  </si>
  <si>
    <r>
      <rPr>
        <vertAlign val="superscript"/>
        <sz val="9"/>
        <color indexed="8"/>
        <rFont val="Calibri"/>
        <family val="2"/>
        <charset val="238"/>
      </rPr>
      <t>1)</t>
    </r>
    <r>
      <rPr>
        <sz val="9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</si>
  <si>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</si>
  <si>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</t>
    </r>
  </si>
  <si>
    <r>
      <rPr>
        <vertAlign val="superscript"/>
        <sz val="9"/>
        <color indexed="8"/>
        <rFont val="Calibri"/>
        <family val="2"/>
        <charset val="238"/>
      </rPr>
      <t>4)</t>
    </r>
    <r>
      <rPr>
        <sz val="9"/>
        <color indexed="8"/>
        <rFont val="Calibri"/>
        <family val="2"/>
        <charset val="238"/>
      </rPr>
      <t xml:space="preserve"> Przekszatłcenie w wyniku finalizacji procesu alokacji ceny nabycia Metelem.</t>
    </r>
  </si>
  <si>
    <r>
      <rPr>
        <vertAlign val="superscript"/>
        <sz val="9"/>
        <color indexed="8"/>
        <rFont val="Calibri"/>
        <family val="2"/>
        <charset val="238"/>
      </rPr>
      <t>5)</t>
    </r>
    <r>
      <rPr>
        <sz val="9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</si>
</sst>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0"/>
    <numFmt numFmtId="165" formatCode="#,##0.000\ ;\(#,##0.000\)"/>
    <numFmt numFmtId="166" formatCode="#,##0.0\ ;\(#,##0.0\)"/>
    <numFmt numFmtId="167" formatCode="#,##0.0;\(#,##0.0\);\-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_(* #,##0.000_);_(* \(#,##0.000\);_(* &quot;-&quot;??_);_(@_)"/>
    <numFmt numFmtId="172" formatCode="\-"/>
    <numFmt numFmtId="173" formatCode="#,##0.0\ ;\(#,##0\)"/>
    <numFmt numFmtId="174" formatCode="0.0"/>
    <numFmt numFmtId="175" formatCode="_(* #,##0.0_);_(* \(#,##0.0\);_(* &quot;-&quot;_);_(@_)"/>
    <numFmt numFmtId="176" formatCode="###0.000"/>
    <numFmt numFmtId="177" formatCode="###0.0"/>
    <numFmt numFmtId="178" formatCode="#\.##0"/>
    <numFmt numFmtId="179" formatCode="#,##0.000"/>
    <numFmt numFmtId="180" formatCode="#\.###\.##0"/>
    <numFmt numFmtId="181" formatCode="#,##0.000;\(#,##0.000\)"/>
    <numFmt numFmtId="182" formatCode="#,##0.0;\(#,##0.0\)"/>
  </numFmts>
  <fonts count="26"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color indexed="8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9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3" fillId="0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6" fillId="0" borderId="0" xfId="0" applyFont="1"/>
    <xf numFmtId="0" fontId="7" fillId="0" borderId="4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4" fontId="10" fillId="5" borderId="0" xfId="0" applyNumberFormat="1" applyFont="1" applyFill="1" applyBorder="1" applyAlignment="1">
      <alignment horizontal="right" vertical="center"/>
    </xf>
    <xf numFmtId="164" fontId="6" fillId="5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vertical="center"/>
    </xf>
    <xf numFmtId="165" fontId="6" fillId="5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6" fillId="5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7" fontId="6" fillId="5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10" fillId="5" borderId="0" xfId="0" applyNumberFormat="1" applyFont="1" applyFill="1" applyBorder="1" applyAlignment="1">
      <alignment horizontal="right" vertical="center"/>
    </xf>
    <xf numFmtId="171" fontId="10" fillId="5" borderId="0" xfId="1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72" fontId="10" fillId="0" borderId="0" xfId="1" applyNumberFormat="1" applyFont="1" applyFill="1" applyBorder="1" applyAlignment="1">
      <alignment horizontal="right" vertical="center"/>
    </xf>
    <xf numFmtId="172" fontId="6" fillId="5" borderId="0" xfId="0" applyNumberFormat="1" applyFont="1" applyFill="1" applyAlignment="1">
      <alignment vertical="center"/>
    </xf>
    <xf numFmtId="166" fontId="10" fillId="0" borderId="0" xfId="1" applyNumberFormat="1" applyFont="1" applyFill="1" applyBorder="1" applyAlignment="1">
      <alignment horizontal="right" vertical="center"/>
    </xf>
    <xf numFmtId="167" fontId="10" fillId="0" borderId="0" xfId="1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vertical="center"/>
    </xf>
    <xf numFmtId="174" fontId="13" fillId="5" borderId="0" xfId="0" applyNumberFormat="1" applyFont="1" applyFill="1" applyBorder="1" applyAlignment="1">
      <alignment horizontal="right" vertical="center"/>
    </xf>
    <xf numFmtId="169" fontId="13" fillId="5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7" fontId="10" fillId="5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indent="3"/>
    </xf>
    <xf numFmtId="167" fontId="15" fillId="5" borderId="0" xfId="0" applyNumberFormat="1" applyFont="1" applyFill="1" applyBorder="1" applyAlignment="1">
      <alignment horizontal="right" vertical="center"/>
    </xf>
    <xf numFmtId="167" fontId="16" fillId="5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Alignment="1">
      <alignment vertical="center"/>
    </xf>
    <xf numFmtId="167" fontId="16" fillId="5" borderId="0" xfId="0" applyNumberFormat="1" applyFont="1" applyFill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6" fontId="16" fillId="5" borderId="0" xfId="0" applyNumberFormat="1" applyFont="1" applyFill="1" applyAlignment="1">
      <alignment vertical="center"/>
    </xf>
    <xf numFmtId="172" fontId="16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6" borderId="3" xfId="0" applyFont="1" applyFill="1" applyBorder="1" applyAlignment="1">
      <alignment vertical="center" wrapText="1"/>
    </xf>
    <xf numFmtId="164" fontId="18" fillId="7" borderId="2" xfId="0" applyNumberFormat="1" applyFont="1" applyFill="1" applyBorder="1" applyAlignment="1">
      <alignment horizontal="right" vertical="center"/>
    </xf>
    <xf numFmtId="164" fontId="18" fillId="6" borderId="2" xfId="0" applyNumberFormat="1" applyFont="1" applyFill="1" applyBorder="1" applyAlignment="1">
      <alignment horizontal="right" vertical="center"/>
    </xf>
    <xf numFmtId="165" fontId="4" fillId="6" borderId="2" xfId="0" applyNumberFormat="1" applyFont="1" applyFill="1" applyBorder="1" applyAlignment="1">
      <alignment vertical="center"/>
    </xf>
    <xf numFmtId="165" fontId="4" fillId="7" borderId="2" xfId="0" applyNumberFormat="1" applyFont="1" applyFill="1" applyBorder="1" applyAlignment="1">
      <alignment vertical="center"/>
    </xf>
    <xf numFmtId="168" fontId="4" fillId="6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vertical="center"/>
    </xf>
    <xf numFmtId="166" fontId="4" fillId="6" borderId="2" xfId="0" applyNumberFormat="1" applyFont="1" applyFill="1" applyBorder="1" applyAlignment="1">
      <alignment vertical="center"/>
    </xf>
    <xf numFmtId="167" fontId="4" fillId="7" borderId="2" xfId="0" applyNumberFormat="1" applyFont="1" applyFill="1" applyBorder="1" applyAlignment="1">
      <alignment vertical="center"/>
    </xf>
    <xf numFmtId="167" fontId="4" fillId="6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6" fillId="5" borderId="0" xfId="0" applyNumberFormat="1" applyFont="1" applyFill="1" applyBorder="1" applyAlignment="1">
      <alignment horizontal="right" vertical="center"/>
    </xf>
    <xf numFmtId="175" fontId="10" fillId="5" borderId="0" xfId="0" applyNumberFormat="1" applyFont="1" applyFill="1" applyBorder="1" applyAlignment="1">
      <alignment horizontal="right" vertical="center"/>
    </xf>
    <xf numFmtId="175" fontId="13" fillId="5" borderId="0" xfId="0" applyNumberFormat="1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64" fontId="16" fillId="5" borderId="0" xfId="0" applyNumberFormat="1" applyFont="1" applyFill="1" applyBorder="1" applyAlignment="1">
      <alignment horizontal="right" vertical="center"/>
    </xf>
    <xf numFmtId="164" fontId="16" fillId="5" borderId="0" xfId="0" applyNumberFormat="1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 vertical="center"/>
    </xf>
    <xf numFmtId="165" fontId="16" fillId="5" borderId="0" xfId="0" applyNumberFormat="1" applyFont="1" applyFill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0" fontId="19" fillId="6" borderId="3" xfId="0" applyFont="1" applyFill="1" applyBorder="1" applyAlignment="1">
      <alignment vertical="center" wrapText="1"/>
    </xf>
    <xf numFmtId="164" fontId="20" fillId="7" borderId="2" xfId="0" applyNumberFormat="1" applyFont="1" applyFill="1" applyBorder="1" applyAlignment="1">
      <alignment horizontal="right" vertical="center"/>
    </xf>
    <xf numFmtId="164" fontId="20" fillId="6" borderId="2" xfId="0" applyNumberFormat="1" applyFont="1" applyFill="1" applyBorder="1" applyAlignment="1">
      <alignment horizontal="right" vertical="center"/>
    </xf>
    <xf numFmtId="165" fontId="21" fillId="6" borderId="2" xfId="0" applyNumberFormat="1" applyFont="1" applyFill="1" applyBorder="1" applyAlignment="1">
      <alignment vertical="center"/>
    </xf>
    <xf numFmtId="165" fontId="21" fillId="7" borderId="2" xfId="0" applyNumberFormat="1" applyFont="1" applyFill="1" applyBorder="1" applyAlignment="1">
      <alignment vertical="center"/>
    </xf>
    <xf numFmtId="166" fontId="21" fillId="6" borderId="2" xfId="0" applyNumberFormat="1" applyFont="1" applyFill="1" applyBorder="1" applyAlignment="1">
      <alignment vertical="center"/>
    </xf>
    <xf numFmtId="166" fontId="21" fillId="7" borderId="2" xfId="0" applyNumberFormat="1" applyFont="1" applyFill="1" applyBorder="1" applyAlignment="1">
      <alignment vertical="center"/>
    </xf>
    <xf numFmtId="167" fontId="21" fillId="7" borderId="2" xfId="0" applyNumberFormat="1" applyFont="1" applyFill="1" applyBorder="1" applyAlignment="1">
      <alignment vertical="center"/>
    </xf>
    <xf numFmtId="167" fontId="21" fillId="6" borderId="2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167" fontId="2" fillId="5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76" fontId="6" fillId="5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5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67" fontId="4" fillId="5" borderId="0" xfId="0" applyNumberFormat="1" applyFont="1" applyFill="1" applyAlignment="1">
      <alignment vertical="center"/>
    </xf>
    <xf numFmtId="178" fontId="12" fillId="5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0" fontId="12" fillId="5" borderId="0" xfId="0" applyNumberFormat="1" applyFont="1" applyFill="1" applyAlignment="1">
      <alignment horizontal="right" vertical="center"/>
    </xf>
    <xf numFmtId="164" fontId="12" fillId="5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79" fontId="6" fillId="5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79" fontId="6" fillId="5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horizontal="right" vertical="center"/>
    </xf>
    <xf numFmtId="168" fontId="6" fillId="5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181" fontId="6" fillId="5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82" fontId="6" fillId="5" borderId="0" xfId="0" applyNumberFormat="1" applyFont="1" applyFill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165" fontId="18" fillId="7" borderId="2" xfId="0" applyNumberFormat="1" applyFont="1" applyFill="1" applyBorder="1" applyAlignment="1">
      <alignment horizontal="right" vertical="center"/>
    </xf>
    <xf numFmtId="179" fontId="18" fillId="6" borderId="2" xfId="0" applyNumberFormat="1" applyFont="1" applyFill="1" applyBorder="1" applyAlignment="1">
      <alignment horizontal="right" vertical="center"/>
    </xf>
    <xf numFmtId="179" fontId="18" fillId="7" borderId="2" xfId="0" applyNumberFormat="1" applyFont="1" applyFill="1" applyBorder="1" applyAlignment="1">
      <alignment horizontal="right" vertical="center"/>
    </xf>
    <xf numFmtId="168" fontId="18" fillId="6" borderId="2" xfId="0" applyNumberFormat="1" applyFont="1" applyFill="1" applyBorder="1" applyAlignment="1">
      <alignment horizontal="right" vertical="center"/>
    </xf>
    <xf numFmtId="168" fontId="18" fillId="7" borderId="2" xfId="0" applyNumberFormat="1" applyFont="1" applyFill="1" applyBorder="1" applyAlignment="1">
      <alignment horizontal="right" vertical="center"/>
    </xf>
    <xf numFmtId="167" fontId="18" fillId="7" borderId="2" xfId="0" applyNumberFormat="1" applyFont="1" applyFill="1" applyBorder="1" applyAlignment="1">
      <alignment horizontal="right" vertical="center"/>
    </xf>
    <xf numFmtId="167" fontId="18" fillId="6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18" fillId="7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7" fontId="6" fillId="5" borderId="0" xfId="0" applyNumberFormat="1" applyFont="1" applyFill="1" applyBorder="1" applyAlignment="1">
      <alignment horizontal="right" vertical="center"/>
    </xf>
    <xf numFmtId="167" fontId="6" fillId="5" borderId="0" xfId="0" applyNumberFormat="1" applyFont="1" applyFill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 vertical="center"/>
    </xf>
    <xf numFmtId="177" fontId="16" fillId="5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7" fontId="12" fillId="5" borderId="0" xfId="0" applyNumberFormat="1" applyFont="1" applyFill="1" applyAlignment="1">
      <alignment horizontal="right" vertical="center"/>
    </xf>
    <xf numFmtId="179" fontId="4" fillId="7" borderId="2" xfId="0" applyNumberFormat="1" applyFont="1" applyFill="1" applyBorder="1" applyAlignment="1">
      <alignment vertical="center"/>
    </xf>
    <xf numFmtId="179" fontId="4" fillId="6" borderId="2" xfId="0" applyNumberFormat="1" applyFont="1" applyFill="1" applyBorder="1" applyAlignment="1">
      <alignment vertical="center"/>
    </xf>
    <xf numFmtId="168" fontId="4" fillId="7" borderId="2" xfId="0" applyNumberFormat="1" applyFont="1" applyFill="1" applyBorder="1" applyAlignment="1">
      <alignment vertical="center"/>
    </xf>
    <xf numFmtId="164" fontId="4" fillId="7" borderId="2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79" fontId="4" fillId="6" borderId="2" xfId="0" applyNumberFormat="1" applyFont="1" applyFill="1" applyBorder="1" applyAlignment="1">
      <alignment horizontal="right" vertical="center"/>
    </xf>
    <xf numFmtId="179" fontId="4" fillId="7" borderId="2" xfId="0" applyNumberFormat="1" applyFont="1" applyFill="1" applyBorder="1" applyAlignment="1">
      <alignment horizontal="right" vertical="center"/>
    </xf>
    <xf numFmtId="0" fontId="21" fillId="6" borderId="3" xfId="0" applyFont="1" applyFill="1" applyBorder="1" applyAlignment="1">
      <alignment horizontal="left" vertical="center"/>
    </xf>
    <xf numFmtId="164" fontId="21" fillId="7" borderId="2" xfId="0" applyNumberFormat="1" applyFont="1" applyFill="1" applyBorder="1" applyAlignment="1">
      <alignment horizontal="right" vertical="center"/>
    </xf>
    <xf numFmtId="164" fontId="21" fillId="6" borderId="2" xfId="0" applyNumberFormat="1" applyFont="1" applyFill="1" applyBorder="1" applyAlignment="1">
      <alignment horizontal="right" vertical="center"/>
    </xf>
    <xf numFmtId="179" fontId="21" fillId="6" borderId="2" xfId="0" applyNumberFormat="1" applyFont="1" applyFill="1" applyBorder="1" applyAlignment="1">
      <alignment horizontal="right" vertical="center"/>
    </xf>
    <xf numFmtId="179" fontId="21" fillId="7" borderId="2" xfId="0" applyNumberFormat="1" applyFont="1" applyFill="1" applyBorder="1" applyAlignment="1">
      <alignment horizontal="right" vertical="center"/>
    </xf>
    <xf numFmtId="179" fontId="21" fillId="7" borderId="2" xfId="0" applyNumberFormat="1" applyFont="1" applyFill="1" applyBorder="1" applyAlignment="1">
      <alignment vertical="center"/>
    </xf>
    <xf numFmtId="179" fontId="21" fillId="6" borderId="2" xfId="0" applyNumberFormat="1" applyFont="1" applyFill="1" applyBorder="1" applyAlignment="1">
      <alignment vertical="center"/>
    </xf>
    <xf numFmtId="168" fontId="21" fillId="6" borderId="2" xfId="0" applyNumberFormat="1" applyFont="1" applyFill="1" applyBorder="1" applyAlignment="1">
      <alignment vertical="center"/>
    </xf>
    <xf numFmtId="168" fontId="21" fillId="7" borderId="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8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24" fillId="2" borderId="0" xfId="0" applyFont="1" applyFill="1" applyAlignment="1">
      <alignment horizontal="right"/>
    </xf>
    <xf numFmtId="0" fontId="25" fillId="0" borderId="0" xfId="0" applyFont="1"/>
  </cellXfs>
  <cellStyles count="3">
    <cellStyle name="Dziesiętny" xfId="1" builtinId="3"/>
    <cellStyle name="Normalny" xfId="0" builtinId="0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77"/>
  <sheetViews>
    <sheetView showGridLines="0" tabSelected="1" zoomScale="85" zoomScaleNormal="85" zoomScaleSheetLayoutView="85" workbookViewId="0">
      <pane xSplit="1" topLeftCell="Z1" activePane="topRight" state="frozen"/>
      <selection pane="topRight" activeCell="A5" sqref="A5"/>
    </sheetView>
  </sheetViews>
  <sheetFormatPr defaultRowHeight="12" outlineLevelCol="1"/>
  <cols>
    <col min="1" max="1" width="53" style="2" customWidth="1"/>
    <col min="2" max="2" width="13.625" style="2" customWidth="1"/>
    <col min="3" max="3" width="13.75" style="2" customWidth="1"/>
    <col min="4" max="4" width="13.5" style="2" customWidth="1"/>
    <col min="5" max="5" width="14.25" style="2" customWidth="1"/>
    <col min="6" max="6" width="16" style="2" hidden="1" customWidth="1" outlineLevel="1"/>
    <col min="7" max="7" width="14.25" style="3" customWidth="1" collapsed="1"/>
    <col min="8" max="8" width="14.25" style="2" hidden="1" customWidth="1" outlineLevel="1"/>
    <col min="9" max="9" width="13.375" style="3" customWidth="1" collapsed="1"/>
    <col min="10" max="10" width="13.375" style="2" hidden="1" customWidth="1" outlineLevel="1"/>
    <col min="11" max="11" width="12.625" style="2" hidden="1" customWidth="1" outlineLevel="1"/>
    <col min="12" max="12" width="13.25" style="2" customWidth="1" collapsed="1"/>
    <col min="13" max="15" width="14.625" style="2" hidden="1" customWidth="1" outlineLevel="1"/>
    <col min="16" max="16" width="14.625" style="2" customWidth="1" collapsed="1"/>
    <col min="17" max="19" width="14.625" style="2" hidden="1" customWidth="1" outlineLevel="1"/>
    <col min="20" max="20" width="14.625" style="2" customWidth="1" collapsed="1"/>
    <col min="21" max="25" width="14.625" style="2" customWidth="1"/>
    <col min="26" max="27" width="14.625" style="4" customWidth="1"/>
    <col min="28" max="30" width="14.625" style="2" customWidth="1"/>
    <col min="31" max="31" width="14.625" style="4" customWidth="1"/>
    <col min="32" max="36" width="14.625" style="2" customWidth="1"/>
    <col min="37" max="16384" width="9" style="2"/>
  </cols>
  <sheetData>
    <row r="1" spans="1:36" ht="28.5" customHeight="1" thickBot="1">
      <c r="A1" s="1" t="s">
        <v>0</v>
      </c>
    </row>
    <row r="2" spans="1:36" s="9" customFormat="1" ht="32.25" customHeight="1" thickBo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6" t="s">
        <v>8</v>
      </c>
      <c r="H2" s="7" t="s">
        <v>9</v>
      </c>
      <c r="I2" s="6" t="s">
        <v>10</v>
      </c>
      <c r="J2" s="7" t="s">
        <v>11</v>
      </c>
      <c r="K2" s="7" t="s">
        <v>12</v>
      </c>
      <c r="L2" s="6" t="s">
        <v>13</v>
      </c>
      <c r="M2" s="7" t="s">
        <v>1</v>
      </c>
      <c r="N2" s="7" t="s">
        <v>14</v>
      </c>
      <c r="O2" s="7" t="s">
        <v>15</v>
      </c>
      <c r="P2" s="6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7" t="s">
        <v>21</v>
      </c>
      <c r="V2" s="7" t="s">
        <v>22</v>
      </c>
      <c r="W2" s="7" t="s">
        <v>23</v>
      </c>
      <c r="X2" s="6" t="s">
        <v>24</v>
      </c>
      <c r="Y2" s="7" t="s">
        <v>25</v>
      </c>
      <c r="Z2" s="7" t="s">
        <v>26</v>
      </c>
      <c r="AA2" s="7" t="s">
        <v>27</v>
      </c>
      <c r="AB2" s="6" t="s">
        <v>28</v>
      </c>
      <c r="AC2" s="7" t="s">
        <v>29</v>
      </c>
      <c r="AD2" s="7" t="s">
        <v>30</v>
      </c>
      <c r="AE2" s="7" t="s">
        <v>31</v>
      </c>
      <c r="AF2" s="6" t="s">
        <v>32</v>
      </c>
      <c r="AG2" s="7" t="s">
        <v>33</v>
      </c>
      <c r="AH2" s="7" t="s">
        <v>34</v>
      </c>
      <c r="AI2" s="7" t="s">
        <v>35</v>
      </c>
      <c r="AJ2" s="6" t="s">
        <v>36</v>
      </c>
    </row>
    <row r="3" spans="1:36" s="18" customFormat="1" ht="33" customHeight="1">
      <c r="A3" s="10" t="s">
        <v>37</v>
      </c>
      <c r="B3" s="11"/>
      <c r="C3" s="11"/>
      <c r="D3" s="11"/>
      <c r="E3" s="12"/>
      <c r="F3" s="13"/>
      <c r="G3" s="14"/>
      <c r="H3" s="15"/>
      <c r="I3" s="16"/>
      <c r="J3" s="15"/>
      <c r="K3" s="15"/>
      <c r="L3" s="16"/>
      <c r="M3" s="15"/>
      <c r="N3" s="15"/>
      <c r="O3" s="15"/>
      <c r="P3" s="16"/>
      <c r="Q3" s="15"/>
      <c r="R3" s="15"/>
      <c r="S3" s="15"/>
      <c r="T3" s="16"/>
      <c r="U3" s="15"/>
      <c r="V3" s="15"/>
      <c r="W3" s="15"/>
      <c r="X3" s="16"/>
      <c r="Y3" s="15"/>
      <c r="Z3" s="17"/>
      <c r="AA3" s="17"/>
      <c r="AB3" s="16"/>
      <c r="AC3" s="15"/>
      <c r="AD3" s="15"/>
      <c r="AE3" s="17"/>
      <c r="AF3" s="16"/>
      <c r="AG3" s="15"/>
      <c r="AH3" s="15"/>
      <c r="AI3" s="15"/>
      <c r="AJ3" s="16"/>
    </row>
    <row r="4" spans="1:36" s="32" customFormat="1" ht="20.100000000000001" customHeight="1">
      <c r="A4" s="19" t="s">
        <v>38</v>
      </c>
      <c r="B4" s="20">
        <f>104132*($A$76)</f>
        <v>104.13200000000001</v>
      </c>
      <c r="C4" s="20">
        <f>42144*($A$76)</f>
        <v>42.143999999999998</v>
      </c>
      <c r="D4" s="20">
        <f>7979*($A$76)</f>
        <v>7.9790000000000001</v>
      </c>
      <c r="E4" s="21">
        <f>549*($A$76)</f>
        <v>0.54900000000000004</v>
      </c>
      <c r="F4" s="22">
        <v>0.378</v>
      </c>
      <c r="G4" s="20">
        <f>20785*($A$76)</f>
        <v>20.785</v>
      </c>
      <c r="H4" s="23">
        <f>49123*(1/1000)</f>
        <v>49.122999999999998</v>
      </c>
      <c r="I4" s="20">
        <f>122457*($A$76)</f>
        <v>122.45700000000001</v>
      </c>
      <c r="J4" s="24">
        <f>183637*($A$76)</f>
        <v>183.637</v>
      </c>
      <c r="K4" s="25">
        <f>215832*($A$76)</f>
        <v>215.83199999999999</v>
      </c>
      <c r="L4" s="26">
        <f>275399*($A$76)</f>
        <v>275.399</v>
      </c>
      <c r="M4" s="25">
        <f>320402*($A$76)</f>
        <v>320.40199999999999</v>
      </c>
      <c r="N4" s="25">
        <f>359907*($A$76)</f>
        <v>359.90699999999998</v>
      </c>
      <c r="O4" s="25">
        <f>386044*($A$76)</f>
        <v>386.04399999999998</v>
      </c>
      <c r="P4" s="26">
        <f>408610*($A$76)</f>
        <v>408.61</v>
      </c>
      <c r="Q4" s="25">
        <f>415308*($A$76)</f>
        <v>415.30799999999999</v>
      </c>
      <c r="R4" s="25">
        <f>419479*($A$76)</f>
        <v>419.47899999999998</v>
      </c>
      <c r="S4" s="25">
        <f>425068*($A$76)</f>
        <v>425.06799999999998</v>
      </c>
      <c r="T4" s="26">
        <f>420060*($A$76)</f>
        <v>420.06</v>
      </c>
      <c r="U4" s="25">
        <f>419894*($A$76)</f>
        <v>419.89400000000001</v>
      </c>
      <c r="V4" s="25">
        <f>418521*($A$76)</f>
        <v>418.52100000000002</v>
      </c>
      <c r="W4" s="25">
        <f>409736*($A$76)</f>
        <v>409.73599999999999</v>
      </c>
      <c r="X4" s="26">
        <f>407579*($A$76)</f>
        <v>407.57900000000001</v>
      </c>
      <c r="Y4" s="25">
        <f>395393*($A$76)</f>
        <v>395.39300000000003</v>
      </c>
      <c r="Z4" s="27">
        <v>384.8</v>
      </c>
      <c r="AA4" s="27">
        <v>417</v>
      </c>
      <c r="AB4" s="28">
        <v>421.1</v>
      </c>
      <c r="AC4" s="29">
        <v>416.6</v>
      </c>
      <c r="AD4" s="29">
        <v>401.1</v>
      </c>
      <c r="AE4" s="27">
        <v>377</v>
      </c>
      <c r="AF4" s="30">
        <v>371</v>
      </c>
      <c r="AG4" s="31">
        <v>356.7</v>
      </c>
      <c r="AH4" s="31">
        <v>353.3</v>
      </c>
      <c r="AI4" s="31">
        <v>350.4</v>
      </c>
      <c r="AJ4" s="30">
        <v>350.9</v>
      </c>
    </row>
    <row r="5" spans="1:36" s="32" customFormat="1" ht="20.100000000000001" customHeight="1">
      <c r="A5" s="19" t="s">
        <v>39</v>
      </c>
      <c r="B5" s="20">
        <f>14741*($A$76)</f>
        <v>14.741</v>
      </c>
      <c r="C5" s="20">
        <f>16217*($A$76)</f>
        <v>16.216999999999999</v>
      </c>
      <c r="D5" s="20">
        <f>45717*($A$76)</f>
        <v>45.716999999999999</v>
      </c>
      <c r="E5" s="21">
        <f>97326*($A$76)</f>
        <v>97.326000000000008</v>
      </c>
      <c r="F5" s="22">
        <f>107330*(1/1000)</f>
        <v>107.33</v>
      </c>
      <c r="G5" s="20">
        <f>125970*($A$76)</f>
        <v>125.97</v>
      </c>
      <c r="H5" s="23">
        <f>141404*(1/1000)</f>
        <v>141.404</v>
      </c>
      <c r="I5" s="20">
        <f>146228*($A$76)</f>
        <v>146.22800000000001</v>
      </c>
      <c r="J5" s="24">
        <f>156728*($A$76)</f>
        <v>156.72800000000001</v>
      </c>
      <c r="K5" s="25">
        <f>153942*($A$76)</f>
        <v>153.94200000000001</v>
      </c>
      <c r="L5" s="26">
        <f>152857*($A$76)</f>
        <v>152.857</v>
      </c>
      <c r="M5" s="25">
        <f>152588*($A$76)</f>
        <v>152.58799999999999</v>
      </c>
      <c r="N5" s="25">
        <f>272116*($A$76)</f>
        <v>272.11599999999999</v>
      </c>
      <c r="O5" s="25">
        <f>265264*($A$76)</f>
        <v>265.26400000000001</v>
      </c>
      <c r="P5" s="26">
        <f>263277*($A$76)</f>
        <v>263.27699999999999</v>
      </c>
      <c r="Q5" s="25">
        <f>258700*($A$76)</f>
        <v>258.7</v>
      </c>
      <c r="R5" s="25">
        <f>258506*($A$76)</f>
        <v>258.50600000000003</v>
      </c>
      <c r="S5" s="25">
        <f>257043*($A$76)</f>
        <v>257.04300000000001</v>
      </c>
      <c r="T5" s="26">
        <f>276407*($A$76)</f>
        <v>276.40699999999998</v>
      </c>
      <c r="U5" s="25">
        <f>266252*($A$76)</f>
        <v>266.25200000000001</v>
      </c>
      <c r="V5" s="25">
        <f>265011*($A$76)</f>
        <v>265.01100000000002</v>
      </c>
      <c r="W5" s="25">
        <f>252063*($A$76)</f>
        <v>252.06300000000002</v>
      </c>
      <c r="X5" s="26">
        <f>251152*($A$76)</f>
        <v>251.15200000000002</v>
      </c>
      <c r="Y5" s="25">
        <f>248178*($A$76)</f>
        <v>248.178</v>
      </c>
      <c r="Z5" s="33">
        <v>3010.6</v>
      </c>
      <c r="AA5" s="33">
        <v>2933.8</v>
      </c>
      <c r="AB5" s="28">
        <v>2714.9</v>
      </c>
      <c r="AC5" s="29">
        <v>2855.8</v>
      </c>
      <c r="AD5" s="29">
        <v>2541.1999999999998</v>
      </c>
      <c r="AE5" s="33">
        <v>2535.1999999999998</v>
      </c>
      <c r="AF5" s="30">
        <v>2548.6</v>
      </c>
      <c r="AG5" s="31">
        <v>3002.2</v>
      </c>
      <c r="AH5" s="31">
        <v>2931</v>
      </c>
      <c r="AI5" s="31">
        <v>2882.8</v>
      </c>
      <c r="AJ5" s="30">
        <v>2964.3</v>
      </c>
    </row>
    <row r="6" spans="1:36" s="32" customFormat="1" ht="20.100000000000001" customHeight="1">
      <c r="A6" s="19" t="s">
        <v>40</v>
      </c>
      <c r="B6" s="34">
        <f t="shared" ref="B6:C8" si="0">(0*($A$76))</f>
        <v>0</v>
      </c>
      <c r="C6" s="34">
        <f t="shared" si="0"/>
        <v>0</v>
      </c>
      <c r="D6" s="35">
        <f>(14*($A$76))</f>
        <v>1.4E-2</v>
      </c>
      <c r="E6" s="34">
        <f>0*($A$76)</f>
        <v>0</v>
      </c>
      <c r="F6" s="36">
        <f>(0*($A$76))</f>
        <v>0</v>
      </c>
      <c r="G6" s="34">
        <f>0*($A$76)</f>
        <v>0</v>
      </c>
      <c r="H6" s="36">
        <f>0*$A$76</f>
        <v>0</v>
      </c>
      <c r="I6" s="34">
        <f>0*($A$76)</f>
        <v>0</v>
      </c>
      <c r="J6" s="37">
        <f>52088*($A$76)</f>
        <v>52.088000000000001</v>
      </c>
      <c r="K6" s="25">
        <f>52022*($A$76)</f>
        <v>52.021999999999998</v>
      </c>
      <c r="L6" s="26">
        <f>52022*($A$76)</f>
        <v>52.021999999999998</v>
      </c>
      <c r="M6" s="25">
        <f>52022*($A$76)</f>
        <v>52.021999999999998</v>
      </c>
      <c r="N6" s="25">
        <f>2412285*($A$76)</f>
        <v>2412.2849999999999</v>
      </c>
      <c r="O6" s="25">
        <f>2412285*($A$76)</f>
        <v>2412.2849999999999</v>
      </c>
      <c r="P6" s="26">
        <f>2412285*($A$76)</f>
        <v>2412.2849999999999</v>
      </c>
      <c r="Q6" s="25">
        <f>2422989*($A$76)</f>
        <v>2422.989</v>
      </c>
      <c r="R6" s="25">
        <f>2575456*($A$76)</f>
        <v>2575.4560000000001</v>
      </c>
      <c r="S6" s="25">
        <f>2575456*($A$76)</f>
        <v>2575.4560000000001</v>
      </c>
      <c r="T6" s="26">
        <f>2568033*($A$76)</f>
        <v>2568.0329999999999</v>
      </c>
      <c r="U6" s="25">
        <f>2568033*($A$76)</f>
        <v>2568.0329999999999</v>
      </c>
      <c r="V6" s="25">
        <f>2568033*($A$76)</f>
        <v>2568.0329999999999</v>
      </c>
      <c r="W6" s="25">
        <f>2637594*($A$76)</f>
        <v>2637.5940000000001</v>
      </c>
      <c r="X6" s="26">
        <f>2602804*($A$76)</f>
        <v>2602.8040000000001</v>
      </c>
      <c r="Y6" s="25">
        <f>2602804*($A$76)</f>
        <v>2602.8040000000001</v>
      </c>
      <c r="Z6" s="33">
        <v>11735.5</v>
      </c>
      <c r="AA6" s="33">
        <v>11735.5</v>
      </c>
      <c r="AB6" s="28">
        <v>10585.3</v>
      </c>
      <c r="AC6" s="29">
        <v>10831.2</v>
      </c>
      <c r="AD6" s="29">
        <v>10606.4</v>
      </c>
      <c r="AE6" s="33">
        <v>10606.4</v>
      </c>
      <c r="AF6" s="30">
        <v>10606.4</v>
      </c>
      <c r="AG6" s="31">
        <v>11675.3</v>
      </c>
      <c r="AH6" s="31">
        <v>10975.2</v>
      </c>
      <c r="AI6" s="31">
        <v>10975.3</v>
      </c>
      <c r="AJ6" s="30">
        <v>10975.4</v>
      </c>
    </row>
    <row r="7" spans="1:36" s="32" customFormat="1" ht="20.100000000000001" customHeight="1">
      <c r="A7" s="19" t="s">
        <v>41</v>
      </c>
      <c r="B7" s="34">
        <f t="shared" si="0"/>
        <v>0</v>
      </c>
      <c r="C7" s="34">
        <f t="shared" si="0"/>
        <v>0</v>
      </c>
      <c r="D7" s="34">
        <f>(0*($A$76))</f>
        <v>0</v>
      </c>
      <c r="E7" s="34">
        <f>0*($A$76)</f>
        <v>0</v>
      </c>
      <c r="F7" s="36">
        <f>(0*($A$76))</f>
        <v>0</v>
      </c>
      <c r="G7" s="34">
        <f>0*($A$76)</f>
        <v>0</v>
      </c>
      <c r="H7" s="36">
        <f>0*$A$76</f>
        <v>0</v>
      </c>
      <c r="I7" s="34">
        <f>0*($A$76)</f>
        <v>0</v>
      </c>
      <c r="J7" s="38">
        <f t="shared" ref="J7:Y7" si="1">0*($A$76)</f>
        <v>0</v>
      </c>
      <c r="K7" s="38">
        <f t="shared" si="1"/>
        <v>0</v>
      </c>
      <c r="L7" s="39">
        <f t="shared" si="1"/>
        <v>0</v>
      </c>
      <c r="M7" s="38">
        <f t="shared" si="1"/>
        <v>0</v>
      </c>
      <c r="N7" s="38">
        <f t="shared" si="1"/>
        <v>0</v>
      </c>
      <c r="O7" s="38">
        <f t="shared" si="1"/>
        <v>0</v>
      </c>
      <c r="P7" s="39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  <c r="T7" s="39">
        <f t="shared" si="1"/>
        <v>0</v>
      </c>
      <c r="U7" s="38">
        <f t="shared" si="1"/>
        <v>0</v>
      </c>
      <c r="V7" s="38">
        <f t="shared" si="1"/>
        <v>0</v>
      </c>
      <c r="W7" s="38">
        <f t="shared" si="1"/>
        <v>0</v>
      </c>
      <c r="X7" s="39">
        <f t="shared" si="1"/>
        <v>0</v>
      </c>
      <c r="Y7" s="38">
        <f t="shared" si="1"/>
        <v>0</v>
      </c>
      <c r="Z7" s="33">
        <v>4482</v>
      </c>
      <c r="AA7" s="33">
        <v>4331.8999999999996</v>
      </c>
      <c r="AB7" s="28">
        <v>4255.8</v>
      </c>
      <c r="AC7" s="40">
        <v>4002.2</v>
      </c>
      <c r="AD7" s="40">
        <v>3944.6</v>
      </c>
      <c r="AE7" s="33">
        <v>3791.6</v>
      </c>
      <c r="AF7" s="30">
        <v>3638.5</v>
      </c>
      <c r="AG7" s="41">
        <v>3488.7</v>
      </c>
      <c r="AH7" s="41">
        <v>3337.3</v>
      </c>
      <c r="AI7" s="41">
        <v>3184.2</v>
      </c>
      <c r="AJ7" s="30">
        <v>3031.2</v>
      </c>
    </row>
    <row r="8" spans="1:36" s="32" customFormat="1" ht="20.100000000000001" customHeight="1">
      <c r="A8" s="19" t="s">
        <v>42</v>
      </c>
      <c r="B8" s="34">
        <f t="shared" si="0"/>
        <v>0</v>
      </c>
      <c r="C8" s="34">
        <f t="shared" si="0"/>
        <v>0</v>
      </c>
      <c r="D8" s="34">
        <f>(0*($A$76))</f>
        <v>0</v>
      </c>
      <c r="E8" s="34">
        <f>0*($A$76)</f>
        <v>0</v>
      </c>
      <c r="F8" s="36">
        <f>(0*($A$76))</f>
        <v>0</v>
      </c>
      <c r="G8" s="34">
        <f>0*($A$76)</f>
        <v>0</v>
      </c>
      <c r="H8" s="36">
        <f>0*$A$76</f>
        <v>0</v>
      </c>
      <c r="I8" s="34">
        <f>0*($A$76)</f>
        <v>0</v>
      </c>
      <c r="J8" s="24">
        <f>(450)*($A$76)</f>
        <v>0.45</v>
      </c>
      <c r="K8" s="24">
        <f>375*($A$76)</f>
        <v>0.375</v>
      </c>
      <c r="L8" s="42">
        <f>300*($A$76)</f>
        <v>0.3</v>
      </c>
      <c r="M8" s="24">
        <f>225*($A$76)</f>
        <v>0.22500000000000001</v>
      </c>
      <c r="N8" s="25">
        <f t="shared" ref="N8:S8" si="2">840000*($A$76)</f>
        <v>840</v>
      </c>
      <c r="O8" s="25">
        <f t="shared" si="2"/>
        <v>840</v>
      </c>
      <c r="P8" s="26">
        <f t="shared" si="2"/>
        <v>840</v>
      </c>
      <c r="Q8" s="25">
        <f t="shared" si="2"/>
        <v>840</v>
      </c>
      <c r="R8" s="25">
        <f t="shared" si="2"/>
        <v>840</v>
      </c>
      <c r="S8" s="25">
        <f t="shared" si="2"/>
        <v>840</v>
      </c>
      <c r="T8" s="26">
        <f>847800*($A$76)</f>
        <v>847.80000000000007</v>
      </c>
      <c r="U8" s="25">
        <f>847800*($A$76)</f>
        <v>847.80000000000007</v>
      </c>
      <c r="V8" s="25">
        <f>847800*($A$76)</f>
        <v>847.80000000000007</v>
      </c>
      <c r="W8" s="25">
        <f>847800*($A$76)</f>
        <v>847.80000000000007</v>
      </c>
      <c r="X8" s="26">
        <f>890800*($A$76)</f>
        <v>890.80000000000007</v>
      </c>
      <c r="Y8" s="25">
        <f>890800*($A$76)</f>
        <v>890.80000000000007</v>
      </c>
      <c r="Z8" s="43">
        <v>890.8</v>
      </c>
      <c r="AA8" s="43">
        <v>890.8</v>
      </c>
      <c r="AB8" s="28">
        <v>2085.9</v>
      </c>
      <c r="AC8" s="29">
        <v>1783.7</v>
      </c>
      <c r="AD8" s="29">
        <v>2092.6999999999998</v>
      </c>
      <c r="AE8" s="43">
        <v>2086.6</v>
      </c>
      <c r="AF8" s="30">
        <v>2080.6</v>
      </c>
      <c r="AG8" s="31">
        <v>2074.6</v>
      </c>
      <c r="AH8" s="31">
        <v>2068.6</v>
      </c>
      <c r="AI8" s="31">
        <v>2062.5</v>
      </c>
      <c r="AJ8" s="30">
        <v>2056.5</v>
      </c>
    </row>
    <row r="9" spans="1:36" s="32" customFormat="1" ht="20.100000000000001" customHeight="1">
      <c r="A9" s="19" t="s">
        <v>43</v>
      </c>
      <c r="B9" s="20">
        <f>5195*($A$76)</f>
        <v>5.1950000000000003</v>
      </c>
      <c r="C9" s="20">
        <f>6746*($A$76)</f>
        <v>6.7460000000000004</v>
      </c>
      <c r="D9" s="20">
        <f>4395*($A$76)</f>
        <v>4.3950000000000005</v>
      </c>
      <c r="E9" s="21">
        <f>11465*($A$76)</f>
        <v>11.465</v>
      </c>
      <c r="F9" s="22">
        <f>13620*(1/1000)</f>
        <v>13.620000000000001</v>
      </c>
      <c r="G9" s="20">
        <f>11876*($A$76)</f>
        <v>11.875999999999999</v>
      </c>
      <c r="H9" s="23">
        <f>11476*(1/1000)</f>
        <v>11.476000000000001</v>
      </c>
      <c r="I9" s="20">
        <f>14165*($A$76)</f>
        <v>14.165000000000001</v>
      </c>
      <c r="J9" s="24">
        <f>19994*($A$76)</f>
        <v>19.994</v>
      </c>
      <c r="K9" s="25">
        <f>20527*($A$76)</f>
        <v>20.527000000000001</v>
      </c>
      <c r="L9" s="26">
        <f>22944*($A$76)</f>
        <v>22.943999999999999</v>
      </c>
      <c r="M9" s="25">
        <f>21112*($A$76)</f>
        <v>21.112000000000002</v>
      </c>
      <c r="N9" s="25">
        <f>47470*($A$76)</f>
        <v>47.47</v>
      </c>
      <c r="O9" s="25">
        <f>47780*($A$76)</f>
        <v>47.78</v>
      </c>
      <c r="P9" s="26">
        <f>54194*($A$76)</f>
        <v>54.194000000000003</v>
      </c>
      <c r="Q9" s="25">
        <f>69466*($A$76)</f>
        <v>69.466000000000008</v>
      </c>
      <c r="R9" s="25">
        <f>69627*($A$76)</f>
        <v>69.626999999999995</v>
      </c>
      <c r="S9" s="25">
        <f>68459*($A$76)</f>
        <v>68.459000000000003</v>
      </c>
      <c r="T9" s="26">
        <f>81380*($A$76)</f>
        <v>81.38</v>
      </c>
      <c r="U9" s="25">
        <f>82841*($A$76)</f>
        <v>82.841000000000008</v>
      </c>
      <c r="V9" s="25">
        <f>83804*($A$76)</f>
        <v>83.804000000000002</v>
      </c>
      <c r="W9" s="25">
        <f>115337*($A$76)</f>
        <v>115.337</v>
      </c>
      <c r="X9" s="26">
        <f>137401*($A$76)</f>
        <v>137.40100000000001</v>
      </c>
      <c r="Y9" s="25">
        <f>136697*($A$76)</f>
        <v>136.697</v>
      </c>
      <c r="Z9" s="33">
        <v>2360.6</v>
      </c>
      <c r="AA9" s="33">
        <v>2624.2</v>
      </c>
      <c r="AB9" s="28">
        <v>2591.4</v>
      </c>
      <c r="AC9" s="29">
        <v>2527.5</v>
      </c>
      <c r="AD9" s="29">
        <v>2525.8000000000002</v>
      </c>
      <c r="AE9" s="33">
        <v>2464.1999999999998</v>
      </c>
      <c r="AF9" s="30">
        <v>2422.1999999999998</v>
      </c>
      <c r="AG9" s="31">
        <v>2988.7</v>
      </c>
      <c r="AH9" s="31">
        <v>3903</v>
      </c>
      <c r="AI9" s="31">
        <v>3769.5</v>
      </c>
      <c r="AJ9" s="30">
        <v>3656.2</v>
      </c>
    </row>
    <row r="10" spans="1:36" s="32" customFormat="1" ht="20.100000000000001" customHeight="1">
      <c r="A10" s="19" t="s">
        <v>44</v>
      </c>
      <c r="B10" s="34">
        <f>(0*($A$76))</f>
        <v>0</v>
      </c>
      <c r="C10" s="34">
        <f>(0*($A$76))</f>
        <v>0</v>
      </c>
      <c r="D10" s="34">
        <f>(0*($A$76))</f>
        <v>0</v>
      </c>
      <c r="E10" s="34">
        <f>0*($A$76)</f>
        <v>0</v>
      </c>
      <c r="F10" s="36">
        <f>(0*($A$76))</f>
        <v>0</v>
      </c>
      <c r="G10" s="34">
        <f>0*($A$76)</f>
        <v>0</v>
      </c>
      <c r="H10" s="36">
        <f>0*$A$76</f>
        <v>0</v>
      </c>
      <c r="I10" s="34">
        <f t="shared" ref="I10:M11" si="3">0*($A$76)</f>
        <v>0</v>
      </c>
      <c r="J10" s="38">
        <f t="shared" si="3"/>
        <v>0</v>
      </c>
      <c r="K10" s="38">
        <f t="shared" si="3"/>
        <v>0</v>
      </c>
      <c r="L10" s="39">
        <f t="shared" si="3"/>
        <v>0</v>
      </c>
      <c r="M10" s="38">
        <f t="shared" si="3"/>
        <v>0</v>
      </c>
      <c r="N10" s="25">
        <f>114797*($A$76)</f>
        <v>114.797</v>
      </c>
      <c r="O10" s="25">
        <f>129170*($A$76)</f>
        <v>129.17000000000002</v>
      </c>
      <c r="P10" s="26">
        <f>131141*($A$76)</f>
        <v>131.14099999999999</v>
      </c>
      <c r="Q10" s="25">
        <f>91415*($A$76)</f>
        <v>91.415000000000006</v>
      </c>
      <c r="R10" s="25">
        <f>95405*($A$76)</f>
        <v>95.405000000000001</v>
      </c>
      <c r="S10" s="25">
        <f>95323*($A$76)</f>
        <v>95.323000000000008</v>
      </c>
      <c r="T10" s="26">
        <f>97988*($A$76)</f>
        <v>97.988</v>
      </c>
      <c r="U10" s="25">
        <f>104074*($A$76)</f>
        <v>104.074</v>
      </c>
      <c r="V10" s="25">
        <f>115904*($A$76)</f>
        <v>115.904</v>
      </c>
      <c r="W10" s="25">
        <f>82162*($A$76)</f>
        <v>82.162000000000006</v>
      </c>
      <c r="X10" s="26">
        <f>71571*($A$76)</f>
        <v>71.570999999999998</v>
      </c>
      <c r="Y10" s="25">
        <f>107548*($A$76)</f>
        <v>107.548</v>
      </c>
      <c r="Z10" s="43">
        <v>128.1</v>
      </c>
      <c r="AA10" s="43">
        <v>148.80000000000001</v>
      </c>
      <c r="AB10" s="28">
        <v>135.80000000000001</v>
      </c>
      <c r="AC10" s="29">
        <v>158.69999999999999</v>
      </c>
      <c r="AD10" s="29">
        <v>174.6</v>
      </c>
      <c r="AE10" s="43">
        <v>109</v>
      </c>
      <c r="AF10" s="30">
        <v>145</v>
      </c>
      <c r="AG10" s="31">
        <v>129.80000000000001</v>
      </c>
      <c r="AH10" s="31">
        <v>156.19999999999999</v>
      </c>
      <c r="AI10" s="31">
        <v>125.6</v>
      </c>
      <c r="AJ10" s="30">
        <v>151.80000000000001</v>
      </c>
    </row>
    <row r="11" spans="1:36" s="32" customFormat="1" ht="20.100000000000001" customHeight="1">
      <c r="A11" s="19" t="s">
        <v>45</v>
      </c>
      <c r="B11" s="34">
        <f>(0*($A$76))</f>
        <v>0</v>
      </c>
      <c r="C11" s="34">
        <f>(0*($A$76))</f>
        <v>0</v>
      </c>
      <c r="D11" s="20">
        <f>28507*($A$76)</f>
        <v>28.507000000000001</v>
      </c>
      <c r="E11" s="21">
        <f>18932*($A$76)</f>
        <v>18.932000000000002</v>
      </c>
      <c r="F11" s="22">
        <f>17125*(1/1000)</f>
        <v>17.125</v>
      </c>
      <c r="G11" s="20">
        <f>16998*($A$76)</f>
        <v>16.998000000000001</v>
      </c>
      <c r="H11" s="36">
        <f>0*$A$76</f>
        <v>0</v>
      </c>
      <c r="I11" s="34">
        <f t="shared" si="3"/>
        <v>0</v>
      </c>
      <c r="J11" s="38">
        <f t="shared" si="3"/>
        <v>0</v>
      </c>
      <c r="K11" s="38">
        <f t="shared" si="3"/>
        <v>0</v>
      </c>
      <c r="L11" s="39">
        <f t="shared" si="3"/>
        <v>0</v>
      </c>
      <c r="M11" s="38">
        <f t="shared" si="3"/>
        <v>0</v>
      </c>
      <c r="N11" s="25">
        <f>7658*($A$76)</f>
        <v>7.6580000000000004</v>
      </c>
      <c r="O11" s="25">
        <f>7701*($A$76)</f>
        <v>7.7010000000000005</v>
      </c>
      <c r="P11" s="26">
        <f>8440*($A$76)</f>
        <v>8.44</v>
      </c>
      <c r="Q11" s="25">
        <f>8419*($A$76)</f>
        <v>8.4190000000000005</v>
      </c>
      <c r="R11" s="25">
        <f>8398*($A$76)</f>
        <v>8.3979999999999997</v>
      </c>
      <c r="S11" s="25">
        <f>8378*($A$76)</f>
        <v>8.3780000000000001</v>
      </c>
      <c r="T11" s="26">
        <f>8357*($A$76)</f>
        <v>8.3569999999999993</v>
      </c>
      <c r="U11" s="25">
        <f>8336*($A$76)</f>
        <v>8.3360000000000003</v>
      </c>
      <c r="V11" s="25">
        <f>7788*($A$76)</f>
        <v>7.7880000000000003</v>
      </c>
      <c r="W11" s="25">
        <f>7427*($A$76)</f>
        <v>7.4270000000000005</v>
      </c>
      <c r="X11" s="26">
        <f>5330*($A$76)</f>
        <v>5.33</v>
      </c>
      <c r="Y11" s="25">
        <f>5315*($A$76)</f>
        <v>5.3150000000000004</v>
      </c>
      <c r="Z11" s="43">
        <v>5.3</v>
      </c>
      <c r="AA11" s="43">
        <v>5.3</v>
      </c>
      <c r="AB11" s="28">
        <v>5.3</v>
      </c>
      <c r="AC11" s="29">
        <v>5.2</v>
      </c>
      <c r="AD11" s="29">
        <v>5.2</v>
      </c>
      <c r="AE11" s="43">
        <v>5.2</v>
      </c>
      <c r="AF11" s="30">
        <v>5.2</v>
      </c>
      <c r="AG11" s="31">
        <v>5.2</v>
      </c>
      <c r="AH11" s="31">
        <v>5.2</v>
      </c>
      <c r="AI11" s="31">
        <v>5.2</v>
      </c>
      <c r="AJ11" s="30">
        <v>5.0999999999999996</v>
      </c>
    </row>
    <row r="12" spans="1:36" s="32" customFormat="1" ht="20.100000000000001" customHeight="1">
      <c r="A12" s="19" t="s">
        <v>46</v>
      </c>
      <c r="B12" s="44" t="s">
        <v>47</v>
      </c>
      <c r="C12" s="44" t="s">
        <v>47</v>
      </c>
      <c r="D12" s="44" t="s">
        <v>47</v>
      </c>
      <c r="E12" s="45" t="s">
        <v>47</v>
      </c>
      <c r="F12" s="46" t="s">
        <v>47</v>
      </c>
      <c r="G12" s="47" t="s">
        <v>47</v>
      </c>
      <c r="H12" s="48" t="s">
        <v>47</v>
      </c>
      <c r="I12" s="47" t="s">
        <v>47</v>
      </c>
      <c r="J12" s="49" t="s">
        <v>47</v>
      </c>
      <c r="K12" s="49" t="s">
        <v>47</v>
      </c>
      <c r="L12" s="50" t="s">
        <v>47</v>
      </c>
      <c r="M12" s="49" t="s">
        <v>47</v>
      </c>
      <c r="N12" s="49" t="s">
        <v>47</v>
      </c>
      <c r="O12" s="49" t="s">
        <v>47</v>
      </c>
      <c r="P12" s="26">
        <f>35028*($A$76)</f>
        <v>35.027999999999999</v>
      </c>
      <c r="Q12" s="51" t="s">
        <v>47</v>
      </c>
      <c r="R12" s="25">
        <f>33259*($A$76)</f>
        <v>33.259</v>
      </c>
      <c r="S12" s="25">
        <f>33252*($A$76)</f>
        <v>33.252000000000002</v>
      </c>
      <c r="T12" s="26">
        <f>35125*($A$76)</f>
        <v>35.125</v>
      </c>
      <c r="U12" s="25">
        <f>34399*($A$76)</f>
        <v>34.399000000000001</v>
      </c>
      <c r="V12" s="25">
        <f>32935*($A$76)</f>
        <v>32.935000000000002</v>
      </c>
      <c r="W12" s="25">
        <f>29318*($A$76)</f>
        <v>29.318000000000001</v>
      </c>
      <c r="X12" s="26">
        <f>29551*($A$76)</f>
        <v>29.551000000000002</v>
      </c>
      <c r="Y12" s="25">
        <f>26502*($A$76)</f>
        <v>26.501999999999999</v>
      </c>
      <c r="Z12" s="43">
        <v>46.2</v>
      </c>
      <c r="AA12" s="43">
        <v>67</v>
      </c>
      <c r="AB12" s="28">
        <v>81</v>
      </c>
      <c r="AC12" s="29">
        <v>84.1</v>
      </c>
      <c r="AD12" s="29">
        <v>82.3</v>
      </c>
      <c r="AE12" s="43">
        <v>81.2</v>
      </c>
      <c r="AF12" s="30">
        <v>83.3</v>
      </c>
      <c r="AG12" s="31">
        <v>81.099999999999994</v>
      </c>
      <c r="AH12" s="31">
        <v>79.7</v>
      </c>
      <c r="AI12" s="31">
        <v>80.400000000000006</v>
      </c>
      <c r="AJ12" s="30">
        <v>82.8</v>
      </c>
    </row>
    <row r="13" spans="1:36" s="32" customFormat="1" ht="20.100000000000001" customHeight="1">
      <c r="A13" s="19" t="s">
        <v>48</v>
      </c>
      <c r="B13" s="52">
        <v>0</v>
      </c>
      <c r="C13" s="52">
        <v>0</v>
      </c>
      <c r="D13" s="52">
        <v>0</v>
      </c>
      <c r="E13" s="52">
        <v>0</v>
      </c>
      <c r="F13" s="53">
        <v>0</v>
      </c>
      <c r="G13" s="52">
        <v>0</v>
      </c>
      <c r="H13" s="54">
        <v>0</v>
      </c>
      <c r="I13" s="52">
        <v>0</v>
      </c>
      <c r="J13" s="54">
        <v>0</v>
      </c>
      <c r="K13" s="54">
        <v>0</v>
      </c>
      <c r="L13" s="52">
        <v>0</v>
      </c>
      <c r="M13" s="54">
        <v>0</v>
      </c>
      <c r="N13" s="54">
        <v>0</v>
      </c>
      <c r="O13" s="54">
        <v>0</v>
      </c>
      <c r="P13" s="30">
        <v>0</v>
      </c>
      <c r="Q13" s="53">
        <v>0</v>
      </c>
      <c r="R13" s="31">
        <v>0</v>
      </c>
      <c r="S13" s="31">
        <v>0</v>
      </c>
      <c r="T13" s="30">
        <v>0</v>
      </c>
      <c r="U13" s="31">
        <v>0</v>
      </c>
      <c r="V13" s="31">
        <v>0</v>
      </c>
      <c r="W13" s="31">
        <v>0</v>
      </c>
      <c r="X13" s="30">
        <v>0</v>
      </c>
      <c r="Y13" s="31">
        <v>0</v>
      </c>
      <c r="Z13" s="55">
        <v>0</v>
      </c>
      <c r="AA13" s="55">
        <v>0</v>
      </c>
      <c r="AB13" s="30">
        <v>0</v>
      </c>
      <c r="AC13" s="31">
        <v>0</v>
      </c>
      <c r="AD13" s="31">
        <v>0</v>
      </c>
      <c r="AE13" s="55">
        <v>0</v>
      </c>
      <c r="AF13" s="30">
        <v>0</v>
      </c>
      <c r="AG13" s="31">
        <v>180.5</v>
      </c>
      <c r="AH13" s="31">
        <v>0</v>
      </c>
      <c r="AI13" s="31">
        <v>0</v>
      </c>
      <c r="AJ13" s="30">
        <v>0</v>
      </c>
    </row>
    <row r="14" spans="1:36" s="32" customFormat="1" ht="20.100000000000001" customHeight="1">
      <c r="A14" s="19" t="s">
        <v>49</v>
      </c>
      <c r="B14" s="20">
        <f>4365*($A$76)</f>
        <v>4.3650000000000002</v>
      </c>
      <c r="C14" s="20">
        <f>4280*($A$76)</f>
        <v>4.28</v>
      </c>
      <c r="D14" s="20">
        <f>12877*($A$76)</f>
        <v>12.877000000000001</v>
      </c>
      <c r="E14" s="21">
        <f>30956*($A$76)</f>
        <v>30.956</v>
      </c>
      <c r="F14" s="22">
        <f>23254*(1/1000)</f>
        <v>23.254000000000001</v>
      </c>
      <c r="G14" s="20">
        <f>24264*($A$76)</f>
        <v>24.263999999999999</v>
      </c>
      <c r="H14" s="23">
        <f>19356*(1/1000)</f>
        <v>19.356000000000002</v>
      </c>
      <c r="I14" s="20">
        <f>55870*($A$76)</f>
        <v>55.870000000000005</v>
      </c>
      <c r="J14" s="24">
        <f>30317*($A$76)</f>
        <v>30.317</v>
      </c>
      <c r="K14" s="25">
        <f>35367*($A$76)</f>
        <v>35.366999999999997</v>
      </c>
      <c r="L14" s="26">
        <f>37544*($A$76)</f>
        <v>37.544000000000004</v>
      </c>
      <c r="M14" s="25">
        <f>35135*($A$76)</f>
        <v>35.134999999999998</v>
      </c>
      <c r="N14" s="25">
        <f>46322*($A$76)</f>
        <v>46.322000000000003</v>
      </c>
      <c r="O14" s="25">
        <f>53686*($A$76)</f>
        <v>53.686</v>
      </c>
      <c r="P14" s="26">
        <f>69447*($A$76)</f>
        <v>69.447000000000003</v>
      </c>
      <c r="Q14" s="25">
        <f>92159*($A$76)</f>
        <v>92.159000000000006</v>
      </c>
      <c r="R14" s="25">
        <f>84770*($A$76)</f>
        <v>84.77</v>
      </c>
      <c r="S14" s="25">
        <f>116704*($A$76)</f>
        <v>116.70400000000001</v>
      </c>
      <c r="T14" s="26">
        <f>109642*($A$76)</f>
        <v>109.642</v>
      </c>
      <c r="U14" s="25">
        <f>62960*($A$76)</f>
        <v>62.96</v>
      </c>
      <c r="V14" s="25">
        <f>61422*($A$76)</f>
        <v>61.422000000000004</v>
      </c>
      <c r="W14" s="25">
        <f>27107*($A$76)</f>
        <v>27.106999999999999</v>
      </c>
      <c r="X14" s="26">
        <f>20803*($A$76)</f>
        <v>20.803000000000001</v>
      </c>
      <c r="Y14" s="25">
        <f>6430*($A$76)</f>
        <v>6.43</v>
      </c>
      <c r="Z14" s="43">
        <v>107.4</v>
      </c>
      <c r="AA14" s="43">
        <v>141.4</v>
      </c>
      <c r="AB14" s="28">
        <v>198.5</v>
      </c>
      <c r="AC14" s="29">
        <v>238</v>
      </c>
      <c r="AD14" s="29">
        <v>232.8</v>
      </c>
      <c r="AE14" s="43">
        <v>232.7</v>
      </c>
      <c r="AF14" s="30">
        <v>272.8</v>
      </c>
      <c r="AG14" s="31">
        <v>295.39999999999998</v>
      </c>
      <c r="AH14" s="31">
        <v>331.8</v>
      </c>
      <c r="AI14" s="31">
        <v>373.3</v>
      </c>
      <c r="AJ14" s="30">
        <v>452</v>
      </c>
    </row>
    <row r="15" spans="1:36" s="66" customFormat="1" ht="20.100000000000001" customHeight="1">
      <c r="A15" s="56" t="s">
        <v>50</v>
      </c>
      <c r="B15" s="57">
        <v>0</v>
      </c>
      <c r="C15" s="57">
        <v>0</v>
      </c>
      <c r="D15" s="57">
        <v>0</v>
      </c>
      <c r="E15" s="58">
        <v>0</v>
      </c>
      <c r="F15" s="59">
        <v>0</v>
      </c>
      <c r="G15" s="57">
        <v>0</v>
      </c>
      <c r="H15" s="60">
        <v>0</v>
      </c>
      <c r="I15" s="57">
        <v>0</v>
      </c>
      <c r="J15" s="60">
        <v>0</v>
      </c>
      <c r="K15" s="61">
        <v>0</v>
      </c>
      <c r="L15" s="62">
        <v>0</v>
      </c>
      <c r="M15" s="61">
        <v>0</v>
      </c>
      <c r="N15" s="61">
        <v>0</v>
      </c>
      <c r="O15" s="61">
        <v>0</v>
      </c>
      <c r="P15" s="62">
        <v>0</v>
      </c>
      <c r="Q15" s="61">
        <v>0</v>
      </c>
      <c r="R15" s="61">
        <v>0</v>
      </c>
      <c r="S15" s="61">
        <v>0</v>
      </c>
      <c r="T15" s="62">
        <v>0</v>
      </c>
      <c r="U15" s="61">
        <v>0</v>
      </c>
      <c r="V15" s="61">
        <v>0</v>
      </c>
      <c r="W15" s="61">
        <v>0</v>
      </c>
      <c r="X15" s="62">
        <v>0</v>
      </c>
      <c r="Y15" s="61">
        <v>0</v>
      </c>
      <c r="Z15" s="63">
        <v>0</v>
      </c>
      <c r="AA15" s="63">
        <v>0</v>
      </c>
      <c r="AB15" s="64">
        <v>1.2</v>
      </c>
      <c r="AC15" s="65">
        <v>0</v>
      </c>
      <c r="AD15" s="65">
        <v>0</v>
      </c>
      <c r="AE15" s="65">
        <v>0</v>
      </c>
      <c r="AF15" s="62">
        <v>6.9</v>
      </c>
      <c r="AG15" s="61">
        <v>0.6</v>
      </c>
      <c r="AH15" s="61">
        <v>0</v>
      </c>
      <c r="AI15" s="61">
        <v>3.5</v>
      </c>
      <c r="AJ15" s="62">
        <v>9.5</v>
      </c>
    </row>
    <row r="16" spans="1:36" s="32" customFormat="1" ht="20.100000000000001" customHeight="1" thickBot="1">
      <c r="A16" s="19" t="s">
        <v>51</v>
      </c>
      <c r="B16" s="20">
        <f>24710*($A$76)</f>
        <v>24.71</v>
      </c>
      <c r="C16" s="20">
        <f>18579*($A$76)</f>
        <v>18.579000000000001</v>
      </c>
      <c r="D16" s="20">
        <f>3520*($A$76)</f>
        <v>3.52</v>
      </c>
      <c r="E16" s="21">
        <f>4134*($A$76)</f>
        <v>4.1340000000000003</v>
      </c>
      <c r="F16" s="22">
        <f>(899*($A$76))</f>
        <v>0.89900000000000002</v>
      </c>
      <c r="G16" s="20">
        <f>1223*($A$76)</f>
        <v>1.2230000000000001</v>
      </c>
      <c r="H16" s="23">
        <f>1762*(1/1000)</f>
        <v>1.762</v>
      </c>
      <c r="I16" s="20">
        <f>2190*($A$76)</f>
        <v>2.19</v>
      </c>
      <c r="J16" s="24">
        <f>3312*($A$76)</f>
        <v>3.3120000000000003</v>
      </c>
      <c r="K16" s="25">
        <f>5185*($A$76)</f>
        <v>5.1850000000000005</v>
      </c>
      <c r="L16" s="26">
        <f>4158*($A$76)</f>
        <v>4.1580000000000004</v>
      </c>
      <c r="M16" s="25">
        <f>5063*($A$76)</f>
        <v>5.0629999999999997</v>
      </c>
      <c r="N16" s="25">
        <f>22612*($A$76)</f>
        <v>22.612000000000002</v>
      </c>
      <c r="O16" s="25">
        <f>15663*($A$76)</f>
        <v>15.663</v>
      </c>
      <c r="P16" s="26">
        <f>55726*($A$76)</f>
        <v>55.725999999999999</v>
      </c>
      <c r="Q16" s="25">
        <f>30500*($A$76)</f>
        <v>30.5</v>
      </c>
      <c r="R16" s="25">
        <f>40245*($A$76)</f>
        <v>40.244999999999997</v>
      </c>
      <c r="S16" s="25">
        <f>37018*($A$76)</f>
        <v>37.018000000000001</v>
      </c>
      <c r="T16" s="26">
        <f>31356*($A$76)</f>
        <v>31.356000000000002</v>
      </c>
      <c r="U16" s="25">
        <f>30260*($A$76)</f>
        <v>30.26</v>
      </c>
      <c r="V16" s="25">
        <f>27326*($A$76)</f>
        <v>27.326000000000001</v>
      </c>
      <c r="W16" s="25">
        <f>27552*($A$76)</f>
        <v>27.552</v>
      </c>
      <c r="X16" s="26">
        <f>38854*($A$76)</f>
        <v>38.853999999999999</v>
      </c>
      <c r="Y16" s="25">
        <f>34685*($A$76)</f>
        <v>34.685000000000002</v>
      </c>
      <c r="Z16" s="43">
        <v>240.5</v>
      </c>
      <c r="AA16" s="43">
        <v>285.7</v>
      </c>
      <c r="AB16" s="28">
        <v>281.10000000000002</v>
      </c>
      <c r="AC16" s="29">
        <v>229</v>
      </c>
      <c r="AD16" s="29">
        <v>260.89999999999998</v>
      </c>
      <c r="AE16" s="43">
        <v>107.2</v>
      </c>
      <c r="AF16" s="30">
        <v>87.6</v>
      </c>
      <c r="AG16" s="31">
        <v>211.3</v>
      </c>
      <c r="AH16" s="31">
        <v>236.5</v>
      </c>
      <c r="AI16" s="31">
        <v>238.4</v>
      </c>
      <c r="AJ16" s="30">
        <v>232.7</v>
      </c>
    </row>
    <row r="17" spans="1:36" s="77" customFormat="1" ht="20.100000000000001" customHeight="1" thickBot="1">
      <c r="A17" s="67" t="s">
        <v>52</v>
      </c>
      <c r="B17" s="68">
        <f>SUM(B4:B16)</f>
        <v>153.14300000000003</v>
      </c>
      <c r="C17" s="68">
        <f>SUM(C4:C16)</f>
        <v>87.966000000000008</v>
      </c>
      <c r="D17" s="68">
        <f>SUM(D4:D16)</f>
        <v>103.009</v>
      </c>
      <c r="E17" s="68">
        <f>SUM(E4:E16)</f>
        <v>163.36200000000002</v>
      </c>
      <c r="F17" s="69">
        <f t="shared" ref="F17:J17" si="4">SUM(F4:F16)</f>
        <v>162.60599999999999</v>
      </c>
      <c r="G17" s="68">
        <f t="shared" si="4"/>
        <v>201.11600000000001</v>
      </c>
      <c r="H17" s="69">
        <f t="shared" si="4"/>
        <v>223.12099999999998</v>
      </c>
      <c r="I17" s="68">
        <f t="shared" si="4"/>
        <v>340.91</v>
      </c>
      <c r="J17" s="70">
        <f t="shared" si="4"/>
        <v>446.52600000000007</v>
      </c>
      <c r="K17" s="70">
        <f t="shared" ref="K17:X17" si="5">(SUM(K4:K16))</f>
        <v>483.25</v>
      </c>
      <c r="L17" s="71">
        <f t="shared" si="5"/>
        <v>545.22400000000005</v>
      </c>
      <c r="M17" s="70">
        <f t="shared" si="5"/>
        <v>586.54700000000003</v>
      </c>
      <c r="N17" s="70">
        <f t="shared" si="5"/>
        <v>4123.1669999999995</v>
      </c>
      <c r="O17" s="70">
        <f t="shared" si="5"/>
        <v>4157.5929999999998</v>
      </c>
      <c r="P17" s="71">
        <f t="shared" si="5"/>
        <v>4278.1479999999992</v>
      </c>
      <c r="Q17" s="70">
        <f t="shared" si="5"/>
        <v>4228.9560000000001</v>
      </c>
      <c r="R17" s="70">
        <f t="shared" si="5"/>
        <v>4425.1450000000004</v>
      </c>
      <c r="S17" s="70">
        <f t="shared" si="5"/>
        <v>4456.701</v>
      </c>
      <c r="T17" s="71">
        <f t="shared" si="5"/>
        <v>4476.1480000000001</v>
      </c>
      <c r="U17" s="70">
        <f t="shared" si="5"/>
        <v>4424.8490000000011</v>
      </c>
      <c r="V17" s="70">
        <f t="shared" si="5"/>
        <v>4428.5439999999999</v>
      </c>
      <c r="W17" s="70">
        <f t="shared" si="5"/>
        <v>4436.0960000000005</v>
      </c>
      <c r="X17" s="71">
        <f t="shared" si="5"/>
        <v>4455.8450000000003</v>
      </c>
      <c r="Y17" s="70">
        <f>(SUM(Y4:Y16))</f>
        <v>4454.3520000000008</v>
      </c>
      <c r="Z17" s="72">
        <f t="shared" ref="Z17:AA17" si="6">SUM(Z4:Z16)</f>
        <v>23391.8</v>
      </c>
      <c r="AA17" s="72">
        <f t="shared" si="6"/>
        <v>23581.399999999998</v>
      </c>
      <c r="AB17" s="73">
        <f t="shared" ref="AB17:AI17" si="7">(SUM(AB4:AB16))-AB15</f>
        <v>23356.1</v>
      </c>
      <c r="AC17" s="74">
        <f t="shared" si="7"/>
        <v>23132</v>
      </c>
      <c r="AD17" s="74">
        <f t="shared" si="7"/>
        <v>22867.599999999999</v>
      </c>
      <c r="AE17" s="74">
        <f t="shared" si="7"/>
        <v>22396.3</v>
      </c>
      <c r="AF17" s="75">
        <f t="shared" si="7"/>
        <v>22261.199999999997</v>
      </c>
      <c r="AG17" s="76">
        <f t="shared" si="7"/>
        <v>24489.499999999996</v>
      </c>
      <c r="AH17" s="76">
        <f t="shared" si="7"/>
        <v>24377.8</v>
      </c>
      <c r="AI17" s="76">
        <f t="shared" si="7"/>
        <v>24047.600000000002</v>
      </c>
      <c r="AJ17" s="75">
        <f>(SUM(AJ4:AJ16))-AJ15</f>
        <v>23958.899999999998</v>
      </c>
    </row>
    <row r="18" spans="1:36" s="77" customFormat="1" ht="20.100000000000001" customHeight="1">
      <c r="A18" s="19" t="s">
        <v>53</v>
      </c>
      <c r="B18" s="34">
        <f>0*($A$76)</f>
        <v>0</v>
      </c>
      <c r="C18" s="34">
        <f>(0*($A$76))*($A$76)</f>
        <v>0</v>
      </c>
      <c r="D18" s="34">
        <f>0*($A$76)</f>
        <v>0</v>
      </c>
      <c r="E18" s="34">
        <f>0*($A$76)</f>
        <v>0</v>
      </c>
      <c r="F18" s="36">
        <f>(0*($A$76))</f>
        <v>0</v>
      </c>
      <c r="G18" s="34">
        <f>0*($A$76)</f>
        <v>0</v>
      </c>
      <c r="H18" s="36">
        <f>0*$A$76</f>
        <v>0</v>
      </c>
      <c r="I18" s="34">
        <f>0*($A$76)</f>
        <v>0</v>
      </c>
      <c r="J18" s="38">
        <f>0*($A$76)</f>
        <v>0</v>
      </c>
      <c r="K18" s="38">
        <f>0*($A$76)</f>
        <v>0</v>
      </c>
      <c r="L18" s="39">
        <f>0*($A$76)</f>
        <v>0</v>
      </c>
      <c r="M18" s="38">
        <f>0*($A$76)</f>
        <v>0</v>
      </c>
      <c r="N18" s="25">
        <f>172701*($A$76)</f>
        <v>172.70099999999999</v>
      </c>
      <c r="O18" s="25">
        <f>195354*($A$76)</f>
        <v>195.35400000000001</v>
      </c>
      <c r="P18" s="26">
        <f>137429*($A$76)</f>
        <v>137.429</v>
      </c>
      <c r="Q18" s="25">
        <f>176114*($A$76)</f>
        <v>176.114</v>
      </c>
      <c r="R18" s="25">
        <f>167251*($A$76)</f>
        <v>167.251</v>
      </c>
      <c r="S18" s="25">
        <f>171461*($A$76)</f>
        <v>171.46100000000001</v>
      </c>
      <c r="T18" s="26">
        <f>141652*($A$76)</f>
        <v>141.65200000000002</v>
      </c>
      <c r="U18" s="25">
        <f>155399*($A$76)</f>
        <v>155.399</v>
      </c>
      <c r="V18" s="25">
        <f>170743*($A$76)</f>
        <v>170.74299999999999</v>
      </c>
      <c r="W18" s="25">
        <f>208533*($A$76)</f>
        <v>208.53300000000002</v>
      </c>
      <c r="X18" s="26">
        <f>181341*($A$76)</f>
        <v>181.34100000000001</v>
      </c>
      <c r="Y18" s="25">
        <f>228936*($A$76)</f>
        <v>228.93600000000001</v>
      </c>
      <c r="Z18" s="43">
        <v>199.1</v>
      </c>
      <c r="AA18" s="43">
        <v>172.6</v>
      </c>
      <c r="AB18" s="28">
        <v>152.1</v>
      </c>
      <c r="AC18" s="29">
        <v>163.1</v>
      </c>
      <c r="AD18" s="29">
        <v>170.4</v>
      </c>
      <c r="AE18" s="43">
        <v>255.6</v>
      </c>
      <c r="AF18" s="30">
        <v>192.2</v>
      </c>
      <c r="AG18" s="31">
        <v>234.7</v>
      </c>
      <c r="AH18" s="31">
        <v>163.5</v>
      </c>
      <c r="AI18" s="31">
        <v>219.1</v>
      </c>
      <c r="AJ18" s="30">
        <v>192</v>
      </c>
    </row>
    <row r="19" spans="1:36" s="32" customFormat="1" ht="20.100000000000001" customHeight="1">
      <c r="A19" s="19" t="s">
        <v>54</v>
      </c>
      <c r="B19" s="20">
        <f>21377*($A$76)</f>
        <v>21.376999999999999</v>
      </c>
      <c r="C19" s="20">
        <f>30388*($A$76)</f>
        <v>30.388000000000002</v>
      </c>
      <c r="D19" s="78">
        <f>58009*($A$76)</f>
        <v>58.009</v>
      </c>
      <c r="E19" s="21">
        <f>130009*($A$76)</f>
        <v>130.00900000000001</v>
      </c>
      <c r="F19" s="22">
        <f>147115*(1/1000)</f>
        <v>147.11500000000001</v>
      </c>
      <c r="G19" s="20">
        <f>94999*($A$76)</f>
        <v>94.998999999999995</v>
      </c>
      <c r="H19" s="23">
        <f>167337*($A$76)</f>
        <v>167.33700000000002</v>
      </c>
      <c r="I19" s="20">
        <f>122091*($A$76)</f>
        <v>122.09100000000001</v>
      </c>
      <c r="J19" s="24">
        <f>142012*($A$76)</f>
        <v>142.012</v>
      </c>
      <c r="K19" s="25">
        <f>167255*($A$76)</f>
        <v>167.255</v>
      </c>
      <c r="L19" s="26">
        <f>173154*($A$76)</f>
        <v>173.154</v>
      </c>
      <c r="M19" s="25">
        <f>155959*($A$76)</f>
        <v>155.959</v>
      </c>
      <c r="N19" s="25">
        <f>159831*($A$76)</f>
        <v>159.83100000000002</v>
      </c>
      <c r="O19" s="25">
        <f>167258*($A$76)</f>
        <v>167.25800000000001</v>
      </c>
      <c r="P19" s="26">
        <f>178127*($A$76)</f>
        <v>178.12700000000001</v>
      </c>
      <c r="Q19" s="25">
        <f>185376*($A$76)</f>
        <v>185.376</v>
      </c>
      <c r="R19" s="25">
        <f>185528*($A$76)</f>
        <v>185.52799999999999</v>
      </c>
      <c r="S19" s="25">
        <f>177054*($A$76)</f>
        <v>177.054</v>
      </c>
      <c r="T19" s="26">
        <f>161974*($A$76)</f>
        <v>161.97399999999999</v>
      </c>
      <c r="U19" s="25">
        <f>150701*($A$76)</f>
        <v>150.70099999999999</v>
      </c>
      <c r="V19" s="25">
        <f>157445*($A$76)</f>
        <v>157.44499999999999</v>
      </c>
      <c r="W19" s="25">
        <f>155698*($A$76)</f>
        <v>155.69800000000001</v>
      </c>
      <c r="X19" s="26">
        <f>146771*($A$76)</f>
        <v>146.77100000000002</v>
      </c>
      <c r="Y19" s="25">
        <f>163072*($A$76)</f>
        <v>163.072</v>
      </c>
      <c r="Z19" s="33">
        <v>343.8</v>
      </c>
      <c r="AA19" s="33">
        <v>316.60000000000002</v>
      </c>
      <c r="AB19" s="28">
        <v>301.39999999999998</v>
      </c>
      <c r="AC19" s="29">
        <v>252.9</v>
      </c>
      <c r="AD19" s="29">
        <v>261.7</v>
      </c>
      <c r="AE19" s="33">
        <v>264.10000000000002</v>
      </c>
      <c r="AF19" s="30">
        <v>281</v>
      </c>
      <c r="AG19" s="31">
        <v>260.2</v>
      </c>
      <c r="AH19" s="31">
        <v>270</v>
      </c>
      <c r="AI19" s="31">
        <v>281</v>
      </c>
      <c r="AJ19" s="30">
        <v>278.7</v>
      </c>
    </row>
    <row r="20" spans="1:36" s="32" customFormat="1" ht="20.100000000000001" customHeight="1">
      <c r="A20" s="19" t="s">
        <v>55</v>
      </c>
      <c r="B20" s="34">
        <f>0*($A$76)</f>
        <v>0</v>
      </c>
      <c r="C20" s="79">
        <f>(0*($A$76))</f>
        <v>0</v>
      </c>
      <c r="D20" s="34">
        <f>0*($A$76)</f>
        <v>0</v>
      </c>
      <c r="E20" s="34">
        <f>0*($A$76)</f>
        <v>0</v>
      </c>
      <c r="F20" s="36">
        <f>(0*($A$76))</f>
        <v>0</v>
      </c>
      <c r="G20" s="34">
        <f>0*($A$76)</f>
        <v>0</v>
      </c>
      <c r="H20" s="36">
        <f>0*$A$76</f>
        <v>0</v>
      </c>
      <c r="I20" s="34">
        <f t="shared" ref="I20:P21" si="8">0*($A$76)</f>
        <v>0</v>
      </c>
      <c r="J20" s="38">
        <f t="shared" si="8"/>
        <v>0</v>
      </c>
      <c r="K20" s="38">
        <f t="shared" si="8"/>
        <v>0</v>
      </c>
      <c r="L20" s="39">
        <f t="shared" si="8"/>
        <v>0</v>
      </c>
      <c r="M20" s="38">
        <f t="shared" si="8"/>
        <v>0</v>
      </c>
      <c r="N20" s="38">
        <f t="shared" si="8"/>
        <v>0</v>
      </c>
      <c r="O20" s="38">
        <f t="shared" si="8"/>
        <v>0</v>
      </c>
      <c r="P20" s="39">
        <f t="shared" si="8"/>
        <v>0</v>
      </c>
      <c r="Q20" s="25">
        <f>1102*($A$76)</f>
        <v>1.1020000000000001</v>
      </c>
      <c r="R20" s="38">
        <f t="shared" ref="R20:Y21" si="9">0*($A$76)</f>
        <v>0</v>
      </c>
      <c r="S20" s="38">
        <f t="shared" si="9"/>
        <v>0</v>
      </c>
      <c r="T20" s="39">
        <f t="shared" si="9"/>
        <v>0</v>
      </c>
      <c r="U20" s="38">
        <f t="shared" si="9"/>
        <v>0</v>
      </c>
      <c r="V20" s="38">
        <f t="shared" si="9"/>
        <v>0</v>
      </c>
      <c r="W20" s="38">
        <f t="shared" si="9"/>
        <v>0</v>
      </c>
      <c r="X20" s="39">
        <f t="shared" si="9"/>
        <v>0</v>
      </c>
      <c r="Y20" s="38">
        <f t="shared" si="9"/>
        <v>0</v>
      </c>
      <c r="Z20" s="36">
        <v>0</v>
      </c>
      <c r="AA20" s="36">
        <v>0</v>
      </c>
      <c r="AB20" s="39">
        <f>0*($A$76)</f>
        <v>0</v>
      </c>
      <c r="AC20" s="38">
        <f>0*($A$76)</f>
        <v>0</v>
      </c>
      <c r="AD20" s="38">
        <v>0</v>
      </c>
      <c r="AE20" s="36">
        <v>0</v>
      </c>
      <c r="AF20" s="30">
        <v>0</v>
      </c>
      <c r="AG20" s="54">
        <v>0</v>
      </c>
      <c r="AH20" s="54">
        <v>0</v>
      </c>
      <c r="AI20" s="54">
        <v>0</v>
      </c>
      <c r="AJ20" s="30">
        <v>0</v>
      </c>
    </row>
    <row r="21" spans="1:36" s="32" customFormat="1" ht="20.100000000000001" customHeight="1">
      <c r="A21" s="19" t="s">
        <v>56</v>
      </c>
      <c r="B21" s="34">
        <f>0*($A$76)</f>
        <v>0</v>
      </c>
      <c r="C21" s="79">
        <f>(0*($A$76))</f>
        <v>0</v>
      </c>
      <c r="D21" s="34">
        <f>0*($A$76)</f>
        <v>0</v>
      </c>
      <c r="E21" s="34">
        <f>0*($A$76)</f>
        <v>0</v>
      </c>
      <c r="F21" s="36">
        <f>(0*($A$76))</f>
        <v>0</v>
      </c>
      <c r="G21" s="34">
        <f>0*($A$76)</f>
        <v>0</v>
      </c>
      <c r="H21" s="36">
        <f>0*$A$76</f>
        <v>0</v>
      </c>
      <c r="I21" s="34">
        <f t="shared" si="8"/>
        <v>0</v>
      </c>
      <c r="J21" s="38">
        <f t="shared" si="8"/>
        <v>0</v>
      </c>
      <c r="K21" s="38">
        <f t="shared" si="8"/>
        <v>0</v>
      </c>
      <c r="L21" s="39">
        <f t="shared" si="8"/>
        <v>0</v>
      </c>
      <c r="M21" s="38">
        <f t="shared" si="8"/>
        <v>0</v>
      </c>
      <c r="N21" s="38">
        <f t="shared" si="8"/>
        <v>0</v>
      </c>
      <c r="O21" s="38">
        <f t="shared" si="8"/>
        <v>0</v>
      </c>
      <c r="P21" s="26">
        <f>14854*($A$76)</f>
        <v>14.854000000000001</v>
      </c>
      <c r="Q21" s="38">
        <f>0*($A$76)</f>
        <v>0</v>
      </c>
      <c r="R21" s="38">
        <f t="shared" si="9"/>
        <v>0</v>
      </c>
      <c r="S21" s="38">
        <f t="shared" si="9"/>
        <v>0</v>
      </c>
      <c r="T21" s="39">
        <f t="shared" si="9"/>
        <v>0</v>
      </c>
      <c r="U21" s="38">
        <f t="shared" si="9"/>
        <v>0</v>
      </c>
      <c r="V21" s="38">
        <f t="shared" si="9"/>
        <v>0</v>
      </c>
      <c r="W21" s="38">
        <f t="shared" si="9"/>
        <v>0</v>
      </c>
      <c r="X21" s="39">
        <f t="shared" si="9"/>
        <v>0</v>
      </c>
      <c r="Y21" s="38">
        <f t="shared" si="9"/>
        <v>0</v>
      </c>
      <c r="Z21" s="36">
        <v>0</v>
      </c>
      <c r="AA21" s="36">
        <v>0</v>
      </c>
      <c r="AB21" s="39">
        <f>0*($A$76)</f>
        <v>0</v>
      </c>
      <c r="AC21" s="38">
        <f>0*($A$76)</f>
        <v>0</v>
      </c>
      <c r="AD21" s="38">
        <v>0</v>
      </c>
      <c r="AE21" s="36">
        <v>0</v>
      </c>
      <c r="AF21" s="30">
        <v>0</v>
      </c>
      <c r="AG21" s="54">
        <v>0</v>
      </c>
      <c r="AH21" s="54">
        <v>0</v>
      </c>
      <c r="AI21" s="54">
        <v>0</v>
      </c>
      <c r="AJ21" s="30">
        <v>0</v>
      </c>
    </row>
    <row r="22" spans="1:36" s="32" customFormat="1" ht="20.100000000000001" customHeight="1">
      <c r="A22" s="19" t="s">
        <v>57</v>
      </c>
      <c r="B22" s="20">
        <f>55225*($A$76)</f>
        <v>55.225000000000001</v>
      </c>
      <c r="C22" s="20">
        <f>34163*($A$76)</f>
        <v>34.163000000000004</v>
      </c>
      <c r="D22" s="78">
        <f>43299*($A$76)</f>
        <v>43.298999999999999</v>
      </c>
      <c r="E22" s="21">
        <f>79133*($A$76)</f>
        <v>79.132999999999996</v>
      </c>
      <c r="F22" s="22">
        <f>121511*(1/1000)</f>
        <v>121.511</v>
      </c>
      <c r="G22" s="20">
        <f>119515*($A$76)</f>
        <v>119.515</v>
      </c>
      <c r="H22" s="23">
        <f>139804*($A$76)</f>
        <v>139.804</v>
      </c>
      <c r="I22" s="20">
        <f>131900*($A$76)</f>
        <v>131.9</v>
      </c>
      <c r="J22" s="24">
        <f>231747*($A$76)</f>
        <v>231.74700000000001</v>
      </c>
      <c r="K22" s="25">
        <f>232952*($A$76)</f>
        <v>232.952</v>
      </c>
      <c r="L22" s="26">
        <f>184298*($A$76)</f>
        <v>184.298</v>
      </c>
      <c r="M22" s="25">
        <f>201875*($A$76)</f>
        <v>201.875</v>
      </c>
      <c r="N22" s="25">
        <f>358165*($A$76)</f>
        <v>358.16500000000002</v>
      </c>
      <c r="O22" s="25">
        <f>313496*($A$76)</f>
        <v>313.49599999999998</v>
      </c>
      <c r="P22" s="26">
        <f>320542*($A$76)</f>
        <v>320.54200000000003</v>
      </c>
      <c r="Q22" s="25">
        <f>342386*($A$76)</f>
        <v>342.38600000000002</v>
      </c>
      <c r="R22" s="25">
        <f>382365*($A$76)</f>
        <v>382.36500000000001</v>
      </c>
      <c r="S22" s="25">
        <f>376949*($A$76)</f>
        <v>376.94900000000001</v>
      </c>
      <c r="T22" s="26">
        <f>375659*($A$76)</f>
        <v>375.65899999999999</v>
      </c>
      <c r="U22" s="25">
        <f>403593*($A$76)</f>
        <v>403.59300000000002</v>
      </c>
      <c r="V22" s="25">
        <f>410902*($A$76)</f>
        <v>410.90199999999999</v>
      </c>
      <c r="W22" s="25">
        <f>401503*($A$76)</f>
        <v>401.50299999999999</v>
      </c>
      <c r="X22" s="26">
        <f>374424*($A$76)</f>
        <v>374.42400000000004</v>
      </c>
      <c r="Y22" s="25">
        <f>398589*($A$76)</f>
        <v>398.589</v>
      </c>
      <c r="Z22" s="33">
        <v>1374.4</v>
      </c>
      <c r="AA22" s="33">
        <v>1369.9</v>
      </c>
      <c r="AB22" s="28">
        <v>1453.4</v>
      </c>
      <c r="AC22" s="29">
        <v>1599.5</v>
      </c>
      <c r="AD22" s="29">
        <v>1988.6</v>
      </c>
      <c r="AE22" s="33">
        <v>1699.4</v>
      </c>
      <c r="AF22" s="30">
        <v>1619.1</v>
      </c>
      <c r="AG22" s="31">
        <v>1503.9</v>
      </c>
      <c r="AH22" s="31">
        <v>1541.1</v>
      </c>
      <c r="AI22" s="31">
        <v>1571.8</v>
      </c>
      <c r="AJ22" s="30">
        <v>1688</v>
      </c>
    </row>
    <row r="23" spans="1:36" s="32" customFormat="1" ht="20.100000000000001" customHeight="1">
      <c r="A23" s="19" t="s">
        <v>58</v>
      </c>
      <c r="B23" s="34">
        <v>0</v>
      </c>
      <c r="C23" s="34">
        <f>(0*($A$76))</f>
        <v>0</v>
      </c>
      <c r="D23" s="34">
        <f>(0*($A$76))</f>
        <v>0</v>
      </c>
      <c r="E23" s="21">
        <f>3002*($A$76)</f>
        <v>3.0020000000000002</v>
      </c>
      <c r="F23" s="36">
        <f>(0*($A$76))</f>
        <v>0</v>
      </c>
      <c r="G23" s="20">
        <f>9410*($A$76)</f>
        <v>9.41</v>
      </c>
      <c r="H23" s="23">
        <f>4586*($A$76)</f>
        <v>4.5860000000000003</v>
      </c>
      <c r="I23" s="20">
        <f>21265*($A$76)</f>
        <v>21.265000000000001</v>
      </c>
      <c r="J23" s="24">
        <f>15496*($A$76)</f>
        <v>15.496</v>
      </c>
      <c r="K23" s="25">
        <f>5267*($A$76)</f>
        <v>5.2670000000000003</v>
      </c>
      <c r="L23" s="26">
        <f>7542*($A$76)</f>
        <v>7.5419999999999998</v>
      </c>
      <c r="M23" s="25">
        <f>3254*($A$76)</f>
        <v>3.254</v>
      </c>
      <c r="N23" s="25">
        <f>9402*($A$76)</f>
        <v>9.402000000000001</v>
      </c>
      <c r="O23" s="25">
        <f>9352*($A$76)</f>
        <v>9.3520000000000003</v>
      </c>
      <c r="P23" s="26">
        <f>10086*($A$76)</f>
        <v>10.086</v>
      </c>
      <c r="Q23" s="25">
        <f>9894*($A$76)</f>
        <v>9.8940000000000001</v>
      </c>
      <c r="R23" s="25">
        <f>263*($A$76)</f>
        <v>0.26300000000000001</v>
      </c>
      <c r="S23" s="25">
        <f>321*($A$76)</f>
        <v>0.32100000000000001</v>
      </c>
      <c r="T23" s="26">
        <f>6494*($A$76)</f>
        <v>6.4939999999999998</v>
      </c>
      <c r="U23" s="25">
        <f>1372*($A$76)</f>
        <v>1.3720000000000001</v>
      </c>
      <c r="V23" s="25">
        <f>1952*($A$76)</f>
        <v>1.952</v>
      </c>
      <c r="W23" s="25">
        <f>1195*($A$76)</f>
        <v>1.1950000000000001</v>
      </c>
      <c r="X23" s="26">
        <f>183*($A$76)</f>
        <v>0.183</v>
      </c>
      <c r="Y23" s="25">
        <f>365*($A$76)</f>
        <v>0.36499999999999999</v>
      </c>
      <c r="Z23" s="33">
        <v>28</v>
      </c>
      <c r="AA23" s="33">
        <v>26</v>
      </c>
      <c r="AB23" s="28">
        <v>26</v>
      </c>
      <c r="AC23" s="29">
        <v>28.9</v>
      </c>
      <c r="AD23" s="29">
        <v>1.5</v>
      </c>
      <c r="AE23" s="33">
        <v>0.7</v>
      </c>
      <c r="AF23" s="30">
        <v>0.7</v>
      </c>
      <c r="AG23" s="31">
        <v>1.9</v>
      </c>
      <c r="AH23" s="31">
        <v>1.4</v>
      </c>
      <c r="AI23" s="31">
        <v>0.9</v>
      </c>
      <c r="AJ23" s="30">
        <v>29.1</v>
      </c>
    </row>
    <row r="24" spans="1:36" s="32" customFormat="1" ht="20.100000000000001" customHeight="1">
      <c r="A24" s="19" t="s">
        <v>59</v>
      </c>
      <c r="B24" s="44" t="s">
        <v>47</v>
      </c>
      <c r="C24" s="80" t="s">
        <v>47</v>
      </c>
      <c r="D24" s="45" t="s">
        <v>47</v>
      </c>
      <c r="E24" s="45" t="s">
        <v>47</v>
      </c>
      <c r="F24" s="46" t="s">
        <v>47</v>
      </c>
      <c r="G24" s="47" t="s">
        <v>47</v>
      </c>
      <c r="H24" s="48" t="s">
        <v>47</v>
      </c>
      <c r="I24" s="47" t="s">
        <v>47</v>
      </c>
      <c r="J24" s="49" t="s">
        <v>47</v>
      </c>
      <c r="K24" s="49" t="s">
        <v>47</v>
      </c>
      <c r="L24" s="50" t="s">
        <v>47</v>
      </c>
      <c r="M24" s="49" t="s">
        <v>47</v>
      </c>
      <c r="N24" s="49" t="s">
        <v>47</v>
      </c>
      <c r="O24" s="49" t="s">
        <v>47</v>
      </c>
      <c r="P24" s="26">
        <f>59361*($A$76)</f>
        <v>59.361000000000004</v>
      </c>
      <c r="Q24" s="51" t="s">
        <v>47</v>
      </c>
      <c r="R24" s="25">
        <f>53916*($A$76)</f>
        <v>53.916000000000004</v>
      </c>
      <c r="S24" s="25">
        <f>54038*($A$76)</f>
        <v>54.038000000000004</v>
      </c>
      <c r="T24" s="26">
        <f>57096*($A$76)</f>
        <v>57.096000000000004</v>
      </c>
      <c r="U24" s="25">
        <f>60035*($A$76)</f>
        <v>60.035000000000004</v>
      </c>
      <c r="V24" s="25">
        <f>63564*($A$76)</f>
        <v>63.564</v>
      </c>
      <c r="W24" s="25">
        <f>65852*($A$76)</f>
        <v>65.852000000000004</v>
      </c>
      <c r="X24" s="26">
        <f>70055*($A$76)</f>
        <v>70.055000000000007</v>
      </c>
      <c r="Y24" s="25">
        <f>70958*($A$76)</f>
        <v>70.957999999999998</v>
      </c>
      <c r="Z24" s="33">
        <v>91.2</v>
      </c>
      <c r="AA24" s="33">
        <v>117.3</v>
      </c>
      <c r="AB24" s="28">
        <v>141.69999999999999</v>
      </c>
      <c r="AC24" s="29">
        <v>165.3</v>
      </c>
      <c r="AD24" s="29">
        <v>186.1</v>
      </c>
      <c r="AE24" s="33">
        <v>200.4</v>
      </c>
      <c r="AF24" s="30">
        <v>212.7</v>
      </c>
      <c r="AG24" s="31">
        <v>213.3</v>
      </c>
      <c r="AH24" s="31">
        <v>209.1</v>
      </c>
      <c r="AI24" s="31">
        <v>207.6</v>
      </c>
      <c r="AJ24" s="30">
        <v>207.2</v>
      </c>
    </row>
    <row r="25" spans="1:36" s="32" customFormat="1" ht="20.100000000000001" customHeight="1">
      <c r="A25" s="19" t="s">
        <v>60</v>
      </c>
      <c r="B25" s="20">
        <f>2712*($A$76)</f>
        <v>2.7120000000000002</v>
      </c>
      <c r="C25" s="20">
        <f>22004*($A$76)</f>
        <v>22.004000000000001</v>
      </c>
      <c r="D25" s="78">
        <f>37786*($A$76)</f>
        <v>37.786000000000001</v>
      </c>
      <c r="E25" s="21">
        <f>68971*($A$76)</f>
        <v>68.971000000000004</v>
      </c>
      <c r="F25" s="22">
        <f>61917*(1/1000)</f>
        <v>61.917000000000002</v>
      </c>
      <c r="G25" s="20">
        <f>85669*($A$76)</f>
        <v>85.668999999999997</v>
      </c>
      <c r="H25" s="23">
        <f>65295*($A$76)</f>
        <v>65.295000000000002</v>
      </c>
      <c r="I25" s="20">
        <f>59290*($A$76)</f>
        <v>59.29</v>
      </c>
      <c r="J25" s="24">
        <f>62323*($A$76)</f>
        <v>62.323</v>
      </c>
      <c r="K25" s="25">
        <f>62110*($A$76)</f>
        <v>62.11</v>
      </c>
      <c r="L25" s="26">
        <f>77362*($A$76)</f>
        <v>77.361999999999995</v>
      </c>
      <c r="M25" s="25">
        <f>122805*($A$76)</f>
        <v>122.80500000000001</v>
      </c>
      <c r="N25" s="25">
        <f>126195*($A$76)</f>
        <v>126.19500000000001</v>
      </c>
      <c r="O25" s="25">
        <f>156700*($A$76)</f>
        <v>156.70000000000002</v>
      </c>
      <c r="P25" s="26">
        <f>72467*($A$76)</f>
        <v>72.466999999999999</v>
      </c>
      <c r="Q25" s="25">
        <f>136299*($A$76)</f>
        <v>136.29900000000001</v>
      </c>
      <c r="R25" s="25">
        <f>73814*($A$76)</f>
        <v>73.814000000000007</v>
      </c>
      <c r="S25" s="25">
        <f>53239*($A$76)</f>
        <v>53.239000000000004</v>
      </c>
      <c r="T25" s="26">
        <f>71968*($A$76)</f>
        <v>71.968000000000004</v>
      </c>
      <c r="U25" s="25">
        <f>109187*($A$76)</f>
        <v>109.187</v>
      </c>
      <c r="V25" s="25">
        <f>93754*($A$76)</f>
        <v>93.754000000000005</v>
      </c>
      <c r="W25" s="25">
        <f>113708*($A$76)</f>
        <v>113.708</v>
      </c>
      <c r="X25" s="26">
        <f>105360*($A$76)</f>
        <v>105.36</v>
      </c>
      <c r="Y25" s="25">
        <f>106732*($A$76)</f>
        <v>106.732</v>
      </c>
      <c r="Z25" s="33">
        <v>221.9</v>
      </c>
      <c r="AA25" s="33">
        <v>224.2</v>
      </c>
      <c r="AB25" s="28">
        <v>160.1</v>
      </c>
      <c r="AC25" s="29">
        <v>212.9</v>
      </c>
      <c r="AD25" s="29">
        <v>226.2</v>
      </c>
      <c r="AE25" s="33">
        <v>255</v>
      </c>
      <c r="AF25" s="30">
        <v>399.5</v>
      </c>
      <c r="AG25" s="31">
        <v>69.599999999999994</v>
      </c>
      <c r="AH25" s="31">
        <v>62.8</v>
      </c>
      <c r="AI25" s="31">
        <v>54.9</v>
      </c>
      <c r="AJ25" s="30">
        <v>38.700000000000003</v>
      </c>
    </row>
    <row r="26" spans="1:36" s="66" customFormat="1" ht="20.100000000000001" customHeight="1">
      <c r="A26" s="56" t="s">
        <v>50</v>
      </c>
      <c r="B26" s="81"/>
      <c r="C26" s="81"/>
      <c r="D26" s="82"/>
      <c r="E26" s="83"/>
      <c r="F26" s="84"/>
      <c r="G26" s="81"/>
      <c r="H26" s="85"/>
      <c r="I26" s="81"/>
      <c r="J26" s="86"/>
      <c r="K26" s="87"/>
      <c r="L26" s="88"/>
      <c r="M26" s="87"/>
      <c r="N26" s="87"/>
      <c r="O26" s="87"/>
      <c r="P26" s="88"/>
      <c r="Q26" s="87"/>
      <c r="R26" s="87"/>
      <c r="S26" s="87"/>
      <c r="T26" s="88"/>
      <c r="U26" s="87"/>
      <c r="V26" s="87"/>
      <c r="W26" s="87"/>
      <c r="X26" s="88"/>
      <c r="Y26" s="87"/>
      <c r="Z26" s="89"/>
      <c r="AA26" s="89"/>
      <c r="AB26" s="64">
        <v>22.2</v>
      </c>
      <c r="AC26" s="90">
        <v>26.3</v>
      </c>
      <c r="AD26" s="90">
        <v>27.3</v>
      </c>
      <c r="AE26" s="89">
        <v>3.8</v>
      </c>
      <c r="AF26" s="62">
        <v>10.5</v>
      </c>
      <c r="AG26" s="61">
        <v>0.2</v>
      </c>
      <c r="AH26" s="61">
        <v>3.6</v>
      </c>
      <c r="AI26" s="61">
        <v>4.8</v>
      </c>
      <c r="AJ26" s="62">
        <v>6.7</v>
      </c>
    </row>
    <row r="27" spans="1:36" s="32" customFormat="1" ht="20.100000000000001" customHeight="1">
      <c r="A27" s="19" t="s">
        <v>61</v>
      </c>
      <c r="B27" s="20">
        <f>13317*($A$76)</f>
        <v>13.317</v>
      </c>
      <c r="C27" s="20">
        <f>2979*($A$76)</f>
        <v>2.9790000000000001</v>
      </c>
      <c r="D27" s="78">
        <v>6.0999999999999999E-2</v>
      </c>
      <c r="E27" s="34">
        <f>0*($A$76)</f>
        <v>0</v>
      </c>
      <c r="F27" s="36">
        <f>(0*($A$76))</f>
        <v>0</v>
      </c>
      <c r="G27" s="34">
        <f>0*($A$76)</f>
        <v>0</v>
      </c>
      <c r="H27" s="36">
        <f>0*$A$76</f>
        <v>0</v>
      </c>
      <c r="I27" s="34">
        <f>0*($A$76)</f>
        <v>0</v>
      </c>
      <c r="J27" s="38" t="s">
        <v>62</v>
      </c>
      <c r="K27" s="38">
        <f t="shared" ref="K27:Y27" si="10">0*($A$76)</f>
        <v>0</v>
      </c>
      <c r="L27" s="39">
        <f t="shared" si="10"/>
        <v>0</v>
      </c>
      <c r="M27" s="38">
        <f t="shared" si="10"/>
        <v>0</v>
      </c>
      <c r="N27" s="38">
        <f t="shared" si="10"/>
        <v>0</v>
      </c>
      <c r="O27" s="38">
        <f t="shared" si="10"/>
        <v>0</v>
      </c>
      <c r="P27" s="39">
        <f t="shared" si="10"/>
        <v>0</v>
      </c>
      <c r="Q27" s="38">
        <f t="shared" si="10"/>
        <v>0</v>
      </c>
      <c r="R27" s="38">
        <f t="shared" si="10"/>
        <v>0</v>
      </c>
      <c r="S27" s="38">
        <f t="shared" si="10"/>
        <v>0</v>
      </c>
      <c r="T27" s="39">
        <f t="shared" si="10"/>
        <v>0</v>
      </c>
      <c r="U27" s="38">
        <f t="shared" si="10"/>
        <v>0</v>
      </c>
      <c r="V27" s="38">
        <f t="shared" si="10"/>
        <v>0</v>
      </c>
      <c r="W27" s="38">
        <f t="shared" si="10"/>
        <v>0</v>
      </c>
      <c r="X27" s="39">
        <f t="shared" si="10"/>
        <v>0</v>
      </c>
      <c r="Y27" s="38">
        <f t="shared" si="10"/>
        <v>0</v>
      </c>
      <c r="Z27" s="91">
        <v>270</v>
      </c>
      <c r="AA27" s="91">
        <v>30</v>
      </c>
      <c r="AB27" s="39">
        <f>0*($A$76)</f>
        <v>0</v>
      </c>
      <c r="AC27" s="29">
        <v>42.7</v>
      </c>
      <c r="AD27" s="29">
        <v>43.1</v>
      </c>
      <c r="AE27" s="91"/>
      <c r="AF27" s="30">
        <v>0</v>
      </c>
      <c r="AG27" s="31">
        <v>12.4</v>
      </c>
      <c r="AH27" s="31">
        <v>0</v>
      </c>
      <c r="AI27" s="31">
        <v>0</v>
      </c>
      <c r="AJ27" s="30">
        <v>0</v>
      </c>
    </row>
    <row r="28" spans="1:36" s="32" customFormat="1" ht="20.100000000000001" customHeight="1">
      <c r="A28" s="19" t="s">
        <v>63</v>
      </c>
      <c r="B28" s="20">
        <f>11874*($A$76)</f>
        <v>11.874000000000001</v>
      </c>
      <c r="C28" s="20">
        <f>64478*($A$76)</f>
        <v>64.477999999999994</v>
      </c>
      <c r="D28" s="78">
        <f>109833*($A$76)</f>
        <v>109.833</v>
      </c>
      <c r="E28" s="21">
        <f>150726*($A$76)</f>
        <v>150.726</v>
      </c>
      <c r="F28" s="22">
        <f>137291*(1/1000)</f>
        <v>137.291</v>
      </c>
      <c r="G28" s="20">
        <f>246422*($A$76)</f>
        <v>246.422</v>
      </c>
      <c r="H28" s="23">
        <f>81270*($A$76)</f>
        <v>81.27</v>
      </c>
      <c r="I28" s="20">
        <f>72652*($A$76)</f>
        <v>72.652000000000001</v>
      </c>
      <c r="J28" s="24">
        <f>47571*($A$76)</f>
        <v>47.570999999999998</v>
      </c>
      <c r="K28" s="25">
        <f>34038*($A$76)</f>
        <v>34.038000000000004</v>
      </c>
      <c r="L28" s="26">
        <f>27615*($A$76)</f>
        <v>27.615000000000002</v>
      </c>
      <c r="M28" s="25">
        <f>156414*($A$76)</f>
        <v>156.41400000000002</v>
      </c>
      <c r="N28" s="25">
        <f>298614*($A$76)</f>
        <v>298.61400000000003</v>
      </c>
      <c r="O28" s="25">
        <f>364116*($A$76)</f>
        <v>364.11599999999999</v>
      </c>
      <c r="P28" s="26">
        <f>277534*($A$76)</f>
        <v>277.53399999999999</v>
      </c>
      <c r="Q28" s="25">
        <f>422627*($A$76)</f>
        <v>422.62700000000001</v>
      </c>
      <c r="R28" s="25">
        <f>309519*($A$76)</f>
        <v>309.51900000000001</v>
      </c>
      <c r="S28" s="25">
        <f>225111*($A$76)</f>
        <v>225.11100000000002</v>
      </c>
      <c r="T28" s="26">
        <f>270354*($A$76)</f>
        <v>270.35399999999998</v>
      </c>
      <c r="U28" s="25">
        <f>324338*($A$76)</f>
        <v>324.33800000000002</v>
      </c>
      <c r="V28" s="25">
        <f>265803*($A$76)</f>
        <v>265.803</v>
      </c>
      <c r="W28" s="25">
        <f>215396*($A$76)</f>
        <v>215.39600000000002</v>
      </c>
      <c r="X28" s="26">
        <f>342251*($A$76)</f>
        <v>342.25100000000003</v>
      </c>
      <c r="Y28" s="25">
        <f>428190*($A$76)</f>
        <v>428.19</v>
      </c>
      <c r="Z28" s="33">
        <v>1894.3</v>
      </c>
      <c r="AA28" s="33">
        <v>1631</v>
      </c>
      <c r="AB28" s="28">
        <v>1735.3</v>
      </c>
      <c r="AC28" s="29">
        <v>1478.9</v>
      </c>
      <c r="AD28" s="29">
        <v>1383.8</v>
      </c>
      <c r="AE28" s="33">
        <v>1059.5999999999999</v>
      </c>
      <c r="AF28" s="30">
        <v>1512</v>
      </c>
      <c r="AG28" s="31">
        <v>1538.6</v>
      </c>
      <c r="AH28" s="31">
        <v>944.5</v>
      </c>
      <c r="AI28" s="31">
        <v>1099.4000000000001</v>
      </c>
      <c r="AJ28" s="30">
        <v>1326</v>
      </c>
    </row>
    <row r="29" spans="1:36" s="32" customFormat="1" ht="20.100000000000001" customHeight="1">
      <c r="A29" s="19" t="s">
        <v>64</v>
      </c>
      <c r="B29" s="79">
        <f>0*($A$76)</f>
        <v>0</v>
      </c>
      <c r="C29" s="79">
        <f>(0*($A$76))</f>
        <v>0</v>
      </c>
      <c r="D29" s="34">
        <f>(0*($A$76))</f>
        <v>0</v>
      </c>
      <c r="E29" s="34">
        <f>0*($A$76)</f>
        <v>0</v>
      </c>
      <c r="F29" s="36">
        <f>(0*($A$76))</f>
        <v>0</v>
      </c>
      <c r="G29" s="34">
        <f>0*($A$76)</f>
        <v>0</v>
      </c>
      <c r="H29" s="36">
        <f>0*$A$76</f>
        <v>0</v>
      </c>
      <c r="I29" s="20">
        <f>26738*($A$76)</f>
        <v>26.738</v>
      </c>
      <c r="J29" s="38">
        <f t="shared" ref="J29:Y30" si="11">0*($A$76)</f>
        <v>0</v>
      </c>
      <c r="K29" s="38">
        <f t="shared" si="11"/>
        <v>0</v>
      </c>
      <c r="L29" s="39">
        <f t="shared" si="11"/>
        <v>0</v>
      </c>
      <c r="M29" s="38">
        <f t="shared" si="11"/>
        <v>0</v>
      </c>
      <c r="N29" s="38">
        <f t="shared" si="11"/>
        <v>0</v>
      </c>
      <c r="O29" s="38">
        <f t="shared" si="11"/>
        <v>0</v>
      </c>
      <c r="P29" s="39">
        <f t="shared" si="11"/>
        <v>0</v>
      </c>
      <c r="Q29" s="38">
        <f t="shared" si="11"/>
        <v>0</v>
      </c>
      <c r="R29" s="38">
        <f t="shared" si="11"/>
        <v>0</v>
      </c>
      <c r="S29" s="38">
        <f t="shared" si="11"/>
        <v>0</v>
      </c>
      <c r="T29" s="39">
        <f t="shared" si="11"/>
        <v>0</v>
      </c>
      <c r="U29" s="38">
        <f t="shared" si="11"/>
        <v>0</v>
      </c>
      <c r="V29" s="38">
        <f t="shared" si="11"/>
        <v>0</v>
      </c>
      <c r="W29" s="38">
        <f t="shared" si="11"/>
        <v>0</v>
      </c>
      <c r="X29" s="39">
        <f t="shared" si="11"/>
        <v>0</v>
      </c>
      <c r="Y29" s="38">
        <f t="shared" si="11"/>
        <v>0</v>
      </c>
      <c r="Z29" s="91">
        <v>12.6</v>
      </c>
      <c r="AA29" s="91">
        <v>12.2</v>
      </c>
      <c r="AB29" s="28">
        <v>12.6</v>
      </c>
      <c r="AC29" s="29">
        <v>12.7</v>
      </c>
      <c r="AD29" s="29">
        <v>12.8</v>
      </c>
      <c r="AE29" s="91">
        <v>12.4</v>
      </c>
      <c r="AF29" s="30">
        <v>11.7</v>
      </c>
      <c r="AG29" s="31">
        <v>31.4</v>
      </c>
      <c r="AH29" s="31">
        <v>10.9</v>
      </c>
      <c r="AI29" s="31">
        <v>10.8</v>
      </c>
      <c r="AJ29" s="30">
        <v>10.7</v>
      </c>
    </row>
    <row r="30" spans="1:36" s="32" customFormat="1" ht="20.100000000000001" customHeight="1" thickBot="1">
      <c r="A30" s="19" t="s">
        <v>65</v>
      </c>
      <c r="B30" s="79">
        <f>0*($A$76)</f>
        <v>0</v>
      </c>
      <c r="C30" s="79">
        <f>(0*($A$76))</f>
        <v>0</v>
      </c>
      <c r="D30" s="78">
        <f>1361*($A$76)</f>
        <v>1.361</v>
      </c>
      <c r="E30" s="34">
        <f>0*($A$76)</f>
        <v>0</v>
      </c>
      <c r="F30" s="36">
        <f>(0*($A$76))</f>
        <v>0</v>
      </c>
      <c r="G30" s="34">
        <f>0*($A$76)</f>
        <v>0</v>
      </c>
      <c r="H30" s="36">
        <f>0*$A$76</f>
        <v>0</v>
      </c>
      <c r="I30" s="34">
        <f>0*($A$76)</f>
        <v>0</v>
      </c>
      <c r="J30" s="38">
        <f t="shared" si="11"/>
        <v>0</v>
      </c>
      <c r="K30" s="38">
        <f t="shared" si="11"/>
        <v>0</v>
      </c>
      <c r="L30" s="39">
        <f t="shared" si="11"/>
        <v>0</v>
      </c>
      <c r="M30" s="38">
        <f t="shared" si="11"/>
        <v>0</v>
      </c>
      <c r="N30" s="38">
        <f t="shared" si="11"/>
        <v>0</v>
      </c>
      <c r="O30" s="38">
        <f t="shared" si="11"/>
        <v>0</v>
      </c>
      <c r="P30" s="39">
        <f t="shared" si="11"/>
        <v>0</v>
      </c>
      <c r="Q30" s="38">
        <f t="shared" si="11"/>
        <v>0</v>
      </c>
      <c r="R30" s="38">
        <f t="shared" si="11"/>
        <v>0</v>
      </c>
      <c r="S30" s="38">
        <f t="shared" si="11"/>
        <v>0</v>
      </c>
      <c r="T30" s="39">
        <f t="shared" si="11"/>
        <v>0</v>
      </c>
      <c r="U30" s="38">
        <f t="shared" si="11"/>
        <v>0</v>
      </c>
      <c r="V30" s="38">
        <f t="shared" si="11"/>
        <v>0</v>
      </c>
      <c r="W30" s="38">
        <f t="shared" si="11"/>
        <v>0</v>
      </c>
      <c r="X30" s="39">
        <f t="shared" si="11"/>
        <v>0</v>
      </c>
      <c r="Y30" s="38">
        <f t="shared" si="11"/>
        <v>0</v>
      </c>
      <c r="Z30" s="36">
        <v>0</v>
      </c>
      <c r="AA30" s="36">
        <v>0</v>
      </c>
      <c r="AB30" s="39">
        <v>0</v>
      </c>
      <c r="AC30" s="38">
        <v>0</v>
      </c>
      <c r="AD30" s="38">
        <v>0</v>
      </c>
      <c r="AE30" s="38">
        <v>0</v>
      </c>
      <c r="AF30" s="30">
        <v>0</v>
      </c>
      <c r="AG30" s="41">
        <v>0</v>
      </c>
      <c r="AH30" s="41">
        <v>0</v>
      </c>
      <c r="AI30" s="41">
        <v>0</v>
      </c>
      <c r="AJ30" s="30">
        <v>0</v>
      </c>
    </row>
    <row r="31" spans="1:36" s="77" customFormat="1" ht="20.100000000000001" customHeight="1" thickBot="1">
      <c r="A31" s="67" t="s">
        <v>66</v>
      </c>
      <c r="B31" s="68">
        <f t="shared" ref="B31:J31" si="12">SUM(B18:B30)</f>
        <v>104.505</v>
      </c>
      <c r="C31" s="68">
        <f t="shared" si="12"/>
        <v>154.012</v>
      </c>
      <c r="D31" s="68">
        <f t="shared" si="12"/>
        <v>250.34899999999999</v>
      </c>
      <c r="E31" s="68">
        <f t="shared" si="12"/>
        <v>431.84100000000001</v>
      </c>
      <c r="F31" s="69">
        <f t="shared" si="12"/>
        <v>467.834</v>
      </c>
      <c r="G31" s="68">
        <f t="shared" si="12"/>
        <v>556.01499999999999</v>
      </c>
      <c r="H31" s="69">
        <f t="shared" si="12"/>
        <v>458.29200000000003</v>
      </c>
      <c r="I31" s="68">
        <f t="shared" si="12"/>
        <v>433.93600000000004</v>
      </c>
      <c r="J31" s="70">
        <f t="shared" si="12"/>
        <v>499.149</v>
      </c>
      <c r="K31" s="70">
        <f t="shared" ref="K31:AA31" si="13">SUM(K18:K30)</f>
        <v>501.62200000000001</v>
      </c>
      <c r="L31" s="71">
        <f t="shared" si="13"/>
        <v>469.971</v>
      </c>
      <c r="M31" s="70">
        <f t="shared" si="13"/>
        <v>640.30700000000002</v>
      </c>
      <c r="N31" s="70">
        <f t="shared" si="13"/>
        <v>1124.9080000000004</v>
      </c>
      <c r="O31" s="70">
        <f t="shared" si="13"/>
        <v>1206.2759999999998</v>
      </c>
      <c r="P31" s="71">
        <f t="shared" si="13"/>
        <v>1070.4000000000001</v>
      </c>
      <c r="Q31" s="70">
        <f t="shared" si="13"/>
        <v>1273.798</v>
      </c>
      <c r="R31" s="70">
        <f t="shared" si="13"/>
        <v>1172.6559999999999</v>
      </c>
      <c r="S31" s="70">
        <f t="shared" si="13"/>
        <v>1058.173</v>
      </c>
      <c r="T31" s="71">
        <f t="shared" si="13"/>
        <v>1085.1969999999999</v>
      </c>
      <c r="U31" s="70">
        <f t="shared" si="13"/>
        <v>1204.625</v>
      </c>
      <c r="V31" s="70">
        <f t="shared" si="13"/>
        <v>1164.163</v>
      </c>
      <c r="W31" s="70">
        <f t="shared" si="13"/>
        <v>1161.885</v>
      </c>
      <c r="X31" s="71">
        <f t="shared" si="13"/>
        <v>1220.3850000000002</v>
      </c>
      <c r="Y31" s="70">
        <f t="shared" si="13"/>
        <v>1396.8419999999999</v>
      </c>
      <c r="Z31" s="74">
        <f t="shared" si="13"/>
        <v>4435.3</v>
      </c>
      <c r="AA31" s="74">
        <f t="shared" si="13"/>
        <v>3899.7999999999997</v>
      </c>
      <c r="AB31" s="73">
        <f t="shared" ref="AB31:AG31" si="14">SUM(AB18:AB30)-AB26</f>
        <v>3982.6</v>
      </c>
      <c r="AC31" s="74">
        <f t="shared" si="14"/>
        <v>3956.9</v>
      </c>
      <c r="AD31" s="74">
        <f t="shared" si="14"/>
        <v>4274.2</v>
      </c>
      <c r="AE31" s="74">
        <f t="shared" si="14"/>
        <v>3747.2000000000003</v>
      </c>
      <c r="AF31" s="75">
        <f t="shared" si="14"/>
        <v>4228.8999999999987</v>
      </c>
      <c r="AG31" s="76">
        <f t="shared" si="14"/>
        <v>3866.0000000000005</v>
      </c>
      <c r="AH31" s="76">
        <f t="shared" ref="AH31:AI31" si="15">SUM(AH18:AH30)-AH26</f>
        <v>3203.3</v>
      </c>
      <c r="AI31" s="76">
        <f t="shared" si="15"/>
        <v>3445.5000000000005</v>
      </c>
      <c r="AJ31" s="75">
        <f t="shared" ref="AJ31" si="16">SUM(AJ18:AJ30)-AJ26</f>
        <v>3770.3999999999992</v>
      </c>
    </row>
    <row r="32" spans="1:36" s="101" customFormat="1" ht="22.5" customHeight="1" thickBot="1">
      <c r="A32" s="92" t="s">
        <v>67</v>
      </c>
      <c r="B32" s="93">
        <f>B31+B17</f>
        <v>257.64800000000002</v>
      </c>
      <c r="C32" s="93">
        <f>C31+C17</f>
        <v>241.97800000000001</v>
      </c>
      <c r="D32" s="93">
        <f>D31+D17</f>
        <v>353.358</v>
      </c>
      <c r="E32" s="93">
        <f>E31+E17</f>
        <v>595.20299999999997</v>
      </c>
      <c r="F32" s="94">
        <f t="shared" ref="F32:J32" si="17">F31+F17</f>
        <v>630.44000000000005</v>
      </c>
      <c r="G32" s="93">
        <f t="shared" si="17"/>
        <v>757.13099999999997</v>
      </c>
      <c r="H32" s="94">
        <f t="shared" si="17"/>
        <v>681.41300000000001</v>
      </c>
      <c r="I32" s="93">
        <f t="shared" si="17"/>
        <v>774.846</v>
      </c>
      <c r="J32" s="95">
        <f t="shared" si="17"/>
        <v>945.67500000000007</v>
      </c>
      <c r="K32" s="95">
        <f t="shared" ref="K32:AJ32" si="18">K17+K31</f>
        <v>984.87200000000007</v>
      </c>
      <c r="L32" s="96">
        <f t="shared" si="18"/>
        <v>1015.1950000000001</v>
      </c>
      <c r="M32" s="95">
        <f t="shared" si="18"/>
        <v>1226.854</v>
      </c>
      <c r="N32" s="95">
        <f t="shared" si="18"/>
        <v>5248.0749999999998</v>
      </c>
      <c r="O32" s="95">
        <f t="shared" si="18"/>
        <v>5363.8689999999997</v>
      </c>
      <c r="P32" s="96">
        <f t="shared" si="18"/>
        <v>5348.5479999999989</v>
      </c>
      <c r="Q32" s="95">
        <f t="shared" si="18"/>
        <v>5502.7539999999999</v>
      </c>
      <c r="R32" s="95">
        <f t="shared" si="18"/>
        <v>5597.8010000000004</v>
      </c>
      <c r="S32" s="95">
        <f t="shared" si="18"/>
        <v>5514.8739999999998</v>
      </c>
      <c r="T32" s="96">
        <f t="shared" si="18"/>
        <v>5561.3450000000003</v>
      </c>
      <c r="U32" s="95">
        <f t="shared" si="18"/>
        <v>5629.4740000000011</v>
      </c>
      <c r="V32" s="95">
        <f t="shared" si="18"/>
        <v>5592.7070000000003</v>
      </c>
      <c r="W32" s="95">
        <f t="shared" si="18"/>
        <v>5597.9810000000007</v>
      </c>
      <c r="X32" s="96">
        <f t="shared" si="18"/>
        <v>5676.2300000000005</v>
      </c>
      <c r="Y32" s="95">
        <f t="shared" si="18"/>
        <v>5851.1940000000004</v>
      </c>
      <c r="Z32" s="97">
        <f t="shared" si="18"/>
        <v>27827.1</v>
      </c>
      <c r="AA32" s="97">
        <f t="shared" si="18"/>
        <v>27481.199999999997</v>
      </c>
      <c r="AB32" s="98">
        <f t="shared" si="18"/>
        <v>27338.699999999997</v>
      </c>
      <c r="AC32" s="97">
        <f t="shared" si="18"/>
        <v>27088.9</v>
      </c>
      <c r="AD32" s="97">
        <f t="shared" si="18"/>
        <v>27141.8</v>
      </c>
      <c r="AE32" s="97">
        <f t="shared" si="18"/>
        <v>26143.5</v>
      </c>
      <c r="AF32" s="99">
        <f t="shared" si="18"/>
        <v>26490.099999999995</v>
      </c>
      <c r="AG32" s="100">
        <f t="shared" si="18"/>
        <v>28355.499999999996</v>
      </c>
      <c r="AH32" s="100">
        <f t="shared" si="18"/>
        <v>27581.1</v>
      </c>
      <c r="AI32" s="100">
        <f t="shared" si="18"/>
        <v>27493.100000000002</v>
      </c>
      <c r="AJ32" s="99">
        <f t="shared" si="18"/>
        <v>27729.299999999996</v>
      </c>
    </row>
    <row r="33" spans="1:36" s="18" customFormat="1" ht="31.5" customHeight="1">
      <c r="A33" s="10" t="s">
        <v>68</v>
      </c>
      <c r="B33" s="102"/>
      <c r="C33" s="102"/>
      <c r="D33" s="102"/>
      <c r="E33" s="103"/>
      <c r="F33" s="104"/>
      <c r="G33" s="105"/>
      <c r="H33" s="15"/>
      <c r="I33" s="16"/>
      <c r="J33" s="15"/>
      <c r="K33" s="15"/>
      <c r="L33" s="16"/>
      <c r="M33" s="15"/>
      <c r="N33" s="15"/>
      <c r="O33" s="15"/>
      <c r="P33" s="16"/>
      <c r="Q33" s="15"/>
      <c r="R33" s="15"/>
      <c r="S33" s="15"/>
      <c r="T33" s="16"/>
      <c r="U33" s="15"/>
      <c r="V33" s="15"/>
      <c r="W33" s="15"/>
      <c r="X33" s="16"/>
      <c r="Y33" s="15"/>
      <c r="Z33" s="106"/>
      <c r="AA33" s="106"/>
      <c r="AB33" s="16"/>
      <c r="AC33" s="15"/>
      <c r="AD33" s="15"/>
      <c r="AE33" s="106"/>
      <c r="AF33" s="107"/>
      <c r="AG33" s="108"/>
      <c r="AH33" s="108"/>
      <c r="AI33" s="108"/>
      <c r="AJ33" s="107"/>
    </row>
    <row r="34" spans="1:36" s="32" customFormat="1" ht="20.100000000000001" customHeight="1">
      <c r="A34" s="19" t="s">
        <v>69</v>
      </c>
      <c r="B34" s="20">
        <f>500*($A$76)</f>
        <v>0.5</v>
      </c>
      <c r="C34" s="20">
        <f>10500*($A$76)</f>
        <v>10.5</v>
      </c>
      <c r="D34" s="78">
        <f>10500*($A$76)</f>
        <v>10.5</v>
      </c>
      <c r="E34" s="21">
        <f t="shared" ref="E34:M34" si="19">10733*($A$76)</f>
        <v>10.733000000000001</v>
      </c>
      <c r="F34" s="22">
        <f t="shared" si="19"/>
        <v>10.733000000000001</v>
      </c>
      <c r="G34" s="21">
        <f t="shared" si="19"/>
        <v>10.733000000000001</v>
      </c>
      <c r="H34" s="22">
        <f t="shared" si="19"/>
        <v>10.733000000000001</v>
      </c>
      <c r="I34" s="21">
        <f t="shared" si="19"/>
        <v>10.733000000000001</v>
      </c>
      <c r="J34" s="22">
        <f t="shared" si="19"/>
        <v>10.733000000000001</v>
      </c>
      <c r="K34" s="22">
        <f t="shared" si="19"/>
        <v>10.733000000000001</v>
      </c>
      <c r="L34" s="21">
        <f t="shared" si="19"/>
        <v>10.733000000000001</v>
      </c>
      <c r="M34" s="22">
        <f t="shared" si="19"/>
        <v>10.733000000000001</v>
      </c>
      <c r="N34" s="22">
        <f t="shared" ref="N34:Y34" si="20">13934*($A$76)</f>
        <v>13.934000000000001</v>
      </c>
      <c r="O34" s="22">
        <f t="shared" si="20"/>
        <v>13.934000000000001</v>
      </c>
      <c r="P34" s="21">
        <f t="shared" si="20"/>
        <v>13.934000000000001</v>
      </c>
      <c r="Q34" s="22">
        <f t="shared" si="20"/>
        <v>13.934000000000001</v>
      </c>
      <c r="R34" s="22">
        <f t="shared" si="20"/>
        <v>13.934000000000001</v>
      </c>
      <c r="S34" s="22">
        <f t="shared" si="20"/>
        <v>13.934000000000001</v>
      </c>
      <c r="T34" s="109">
        <f t="shared" si="20"/>
        <v>13.934000000000001</v>
      </c>
      <c r="U34" s="110">
        <f t="shared" si="20"/>
        <v>13.934000000000001</v>
      </c>
      <c r="V34" s="110">
        <f t="shared" si="20"/>
        <v>13.934000000000001</v>
      </c>
      <c r="W34" s="110">
        <f t="shared" si="20"/>
        <v>13.934000000000001</v>
      </c>
      <c r="X34" s="109">
        <f t="shared" si="20"/>
        <v>13.934000000000001</v>
      </c>
      <c r="Y34" s="110">
        <f t="shared" si="20"/>
        <v>13.934000000000001</v>
      </c>
      <c r="Z34" s="33">
        <v>25.6</v>
      </c>
      <c r="AA34" s="33">
        <v>25.6</v>
      </c>
      <c r="AB34" s="111">
        <v>25.6</v>
      </c>
      <c r="AC34" s="112">
        <v>25.6</v>
      </c>
      <c r="AD34" s="112">
        <v>25.6</v>
      </c>
      <c r="AE34" s="112">
        <v>25.6</v>
      </c>
      <c r="AF34" s="113">
        <v>25.6</v>
      </c>
      <c r="AG34" s="31">
        <v>25.6</v>
      </c>
      <c r="AH34" s="31">
        <v>25.6</v>
      </c>
      <c r="AI34" s="31">
        <v>25.6</v>
      </c>
      <c r="AJ34" s="113">
        <v>25.6</v>
      </c>
    </row>
    <row r="35" spans="1:36" s="32" customFormat="1" ht="20.100000000000001" customHeight="1">
      <c r="A35" s="19" t="s">
        <v>70</v>
      </c>
      <c r="B35" s="34">
        <v>0</v>
      </c>
      <c r="C35" s="34">
        <v>0</v>
      </c>
      <c r="D35" s="34">
        <v>0</v>
      </c>
      <c r="E35" s="21">
        <f>3500*($A$76)</f>
        <v>3.5</v>
      </c>
      <c r="F35" s="22">
        <f>3500*($A$76)</f>
        <v>3.5</v>
      </c>
      <c r="G35" s="21">
        <f>3964*($A$76)</f>
        <v>3.964</v>
      </c>
      <c r="H35" s="22">
        <f>73997*($A$76)</f>
        <v>73.997</v>
      </c>
      <c r="I35" s="21">
        <f>73997*($A$76)</f>
        <v>73.997</v>
      </c>
      <c r="J35" s="22">
        <f>156534*($A$76)</f>
        <v>156.53399999999999</v>
      </c>
      <c r="K35" s="22">
        <f>156534*($A$76)</f>
        <v>156.53399999999999</v>
      </c>
      <c r="L35" s="21">
        <f>156534*($A$76)</f>
        <v>156.53399999999999</v>
      </c>
      <c r="M35" s="22">
        <f>156534*($A$76)</f>
        <v>156.53399999999999</v>
      </c>
      <c r="N35" s="22">
        <f>432265*($A$76)</f>
        <v>432.26499999999999</v>
      </c>
      <c r="O35" s="22">
        <f>432265*($A$76)</f>
        <v>432.26499999999999</v>
      </c>
      <c r="P35" s="114" t="s">
        <v>71</v>
      </c>
      <c r="Q35" s="22">
        <f>432265*($A$76)</f>
        <v>432.26499999999999</v>
      </c>
      <c r="R35" s="36">
        <v>0</v>
      </c>
      <c r="S35" s="36">
        <v>0</v>
      </c>
      <c r="T35" s="34">
        <v>0</v>
      </c>
      <c r="U35" s="36">
        <v>0</v>
      </c>
      <c r="V35" s="36">
        <v>0</v>
      </c>
      <c r="W35" s="36">
        <v>0</v>
      </c>
      <c r="X35" s="34">
        <v>0</v>
      </c>
      <c r="Y35" s="36">
        <v>0</v>
      </c>
      <c r="Z35" s="36">
        <v>0</v>
      </c>
      <c r="AA35" s="36">
        <v>0</v>
      </c>
      <c r="AB35" s="34">
        <v>0</v>
      </c>
      <c r="AC35" s="36">
        <v>0</v>
      </c>
      <c r="AD35" s="36">
        <v>0</v>
      </c>
      <c r="AE35" s="36">
        <v>0</v>
      </c>
      <c r="AF35" s="52">
        <v>0</v>
      </c>
      <c r="AG35" s="54">
        <v>0</v>
      </c>
      <c r="AH35" s="54">
        <v>0</v>
      </c>
      <c r="AI35" s="54">
        <v>0</v>
      </c>
      <c r="AJ35" s="52">
        <v>0</v>
      </c>
    </row>
    <row r="36" spans="1:36" s="32" customFormat="1" ht="20.100000000000001" customHeight="1">
      <c r="A36" s="19" t="s">
        <v>72</v>
      </c>
      <c r="B36" s="34">
        <v>0</v>
      </c>
      <c r="C36" s="34">
        <v>0</v>
      </c>
      <c r="D36" s="34">
        <v>0</v>
      </c>
      <c r="E36" s="21">
        <f t="shared" ref="E36:M36" si="21">10174*($A$76)</f>
        <v>10.173999999999999</v>
      </c>
      <c r="F36" s="22">
        <f t="shared" si="21"/>
        <v>10.173999999999999</v>
      </c>
      <c r="G36" s="21">
        <f t="shared" si="21"/>
        <v>10.173999999999999</v>
      </c>
      <c r="H36" s="22">
        <f t="shared" si="21"/>
        <v>10.173999999999999</v>
      </c>
      <c r="I36" s="21">
        <f t="shared" si="21"/>
        <v>10.173999999999999</v>
      </c>
      <c r="J36" s="22">
        <f t="shared" si="21"/>
        <v>10.173999999999999</v>
      </c>
      <c r="K36" s="22">
        <f t="shared" si="21"/>
        <v>10.173999999999999</v>
      </c>
      <c r="L36" s="21">
        <f t="shared" si="21"/>
        <v>10.173999999999999</v>
      </c>
      <c r="M36" s="22">
        <f t="shared" si="21"/>
        <v>10.173999999999999</v>
      </c>
      <c r="N36" s="22">
        <f>1305277*($A$76)</f>
        <v>1305.277</v>
      </c>
      <c r="O36" s="115">
        <f>1305277*($A$76)</f>
        <v>1305.277</v>
      </c>
      <c r="P36" s="116" t="s">
        <v>71</v>
      </c>
      <c r="Q36" s="115">
        <f>1305277*($A$76)</f>
        <v>1305.277</v>
      </c>
      <c r="R36" s="36">
        <v>0</v>
      </c>
      <c r="S36" s="36">
        <v>0</v>
      </c>
      <c r="T36" s="34">
        <v>0</v>
      </c>
      <c r="U36" s="36">
        <v>0</v>
      </c>
      <c r="V36" s="36">
        <v>0</v>
      </c>
      <c r="W36" s="36">
        <v>0</v>
      </c>
      <c r="X36" s="34">
        <v>0</v>
      </c>
      <c r="Y36" s="36">
        <v>0</v>
      </c>
      <c r="Z36" s="36">
        <v>0</v>
      </c>
      <c r="AA36" s="36">
        <v>0</v>
      </c>
      <c r="AB36" s="34">
        <v>0</v>
      </c>
      <c r="AC36" s="36">
        <v>0</v>
      </c>
      <c r="AD36" s="36">
        <v>0</v>
      </c>
      <c r="AE36" s="36">
        <v>0</v>
      </c>
      <c r="AF36" s="52">
        <v>0</v>
      </c>
      <c r="AG36" s="54">
        <v>0</v>
      </c>
      <c r="AH36" s="54">
        <v>0</v>
      </c>
      <c r="AI36" s="54">
        <v>0</v>
      </c>
      <c r="AJ36" s="52">
        <v>0</v>
      </c>
    </row>
    <row r="37" spans="1:36" s="32" customFormat="1" ht="20.100000000000001" customHeight="1">
      <c r="A37" s="19" t="s">
        <v>73</v>
      </c>
      <c r="B37" s="45" t="s">
        <v>71</v>
      </c>
      <c r="C37" s="45" t="s">
        <v>71</v>
      </c>
      <c r="D37" s="45" t="s">
        <v>71</v>
      </c>
      <c r="E37" s="45" t="s">
        <v>71</v>
      </c>
      <c r="F37" s="46" t="s">
        <v>71</v>
      </c>
      <c r="G37" s="117" t="s">
        <v>71</v>
      </c>
      <c r="H37" s="46" t="s">
        <v>71</v>
      </c>
      <c r="I37" s="117" t="s">
        <v>71</v>
      </c>
      <c r="J37" s="46" t="s">
        <v>71</v>
      </c>
      <c r="K37" s="118" t="s">
        <v>71</v>
      </c>
      <c r="L37" s="114" t="s">
        <v>71</v>
      </c>
      <c r="M37" s="118" t="s">
        <v>71</v>
      </c>
      <c r="N37" s="119" t="s">
        <v>71</v>
      </c>
      <c r="O37" s="119" t="s">
        <v>71</v>
      </c>
      <c r="P37" s="120">
        <f>1295103*($A$76)</f>
        <v>1295.1030000000001</v>
      </c>
      <c r="Q37" s="121" t="s">
        <v>71</v>
      </c>
      <c r="R37" s="115">
        <f t="shared" ref="R37:Y37" si="22">1295103*($A$76)</f>
        <v>1295.1030000000001</v>
      </c>
      <c r="S37" s="115">
        <f t="shared" si="22"/>
        <v>1295.1030000000001</v>
      </c>
      <c r="T37" s="122">
        <f t="shared" si="22"/>
        <v>1295.1030000000001</v>
      </c>
      <c r="U37" s="123">
        <f t="shared" si="22"/>
        <v>1295.1030000000001</v>
      </c>
      <c r="V37" s="123">
        <f t="shared" si="22"/>
        <v>1295.1030000000001</v>
      </c>
      <c r="W37" s="123">
        <f t="shared" si="22"/>
        <v>1295.1030000000001</v>
      </c>
      <c r="X37" s="122">
        <f t="shared" si="22"/>
        <v>1295.1030000000001</v>
      </c>
      <c r="Y37" s="123">
        <f t="shared" si="22"/>
        <v>1295.1030000000001</v>
      </c>
      <c r="Z37" s="124">
        <v>7237.5</v>
      </c>
      <c r="AA37" s="124">
        <v>7237.5</v>
      </c>
      <c r="AB37" s="125">
        <v>7174</v>
      </c>
      <c r="AC37" s="126">
        <v>7237.4</v>
      </c>
      <c r="AD37" s="126">
        <v>7174</v>
      </c>
      <c r="AE37" s="126">
        <v>7174</v>
      </c>
      <c r="AF37" s="30">
        <v>7174</v>
      </c>
      <c r="AG37" s="31">
        <v>7174</v>
      </c>
      <c r="AH37" s="31">
        <v>7174</v>
      </c>
      <c r="AI37" s="31">
        <v>7174</v>
      </c>
      <c r="AJ37" s="30">
        <v>7174</v>
      </c>
    </row>
    <row r="38" spans="1:36" s="32" customFormat="1" ht="20.100000000000001" customHeight="1">
      <c r="A38" s="19" t="s">
        <v>74</v>
      </c>
      <c r="B38" s="34">
        <v>0</v>
      </c>
      <c r="C38" s="34">
        <v>0</v>
      </c>
      <c r="D38" s="34">
        <v>0</v>
      </c>
      <c r="E38" s="34">
        <v>0</v>
      </c>
      <c r="F38" s="36">
        <v>0</v>
      </c>
      <c r="G38" s="34">
        <v>0</v>
      </c>
      <c r="H38" s="36">
        <v>0</v>
      </c>
      <c r="I38" s="34">
        <v>0</v>
      </c>
      <c r="J38" s="36">
        <v>0</v>
      </c>
      <c r="K38" s="36">
        <v>0</v>
      </c>
      <c r="L38" s="34">
        <v>0</v>
      </c>
      <c r="M38" s="36">
        <v>0</v>
      </c>
      <c r="N38" s="127">
        <f>-927*($A$76)</f>
        <v>-0.92700000000000005</v>
      </c>
      <c r="O38" s="127">
        <f>5230*($A$76)</f>
        <v>5.23</v>
      </c>
      <c r="P38" s="114" t="s">
        <v>71</v>
      </c>
      <c r="Q38" s="127">
        <f>-3170*($A$76)</f>
        <v>-3.17</v>
      </c>
      <c r="R38" s="36">
        <v>0</v>
      </c>
      <c r="S38" s="36">
        <v>0</v>
      </c>
      <c r="T38" s="34">
        <v>0</v>
      </c>
      <c r="U38" s="36">
        <v>0</v>
      </c>
      <c r="V38" s="36">
        <v>0</v>
      </c>
      <c r="W38" s="36">
        <v>0</v>
      </c>
      <c r="X38" s="34">
        <v>0</v>
      </c>
      <c r="Y38" s="36">
        <v>0</v>
      </c>
      <c r="Z38" s="36">
        <v>0</v>
      </c>
      <c r="AA38" s="36">
        <v>0</v>
      </c>
      <c r="AB38" s="34">
        <v>0</v>
      </c>
      <c r="AC38" s="36">
        <v>0</v>
      </c>
      <c r="AD38" s="36">
        <v>0</v>
      </c>
      <c r="AE38" s="36">
        <v>0</v>
      </c>
      <c r="AF38" s="52">
        <v>0</v>
      </c>
      <c r="AG38" s="54">
        <v>0</v>
      </c>
      <c r="AH38" s="54">
        <v>0</v>
      </c>
      <c r="AI38" s="54">
        <v>0</v>
      </c>
      <c r="AJ38" s="52">
        <v>0</v>
      </c>
    </row>
    <row r="39" spans="1:36" s="32" customFormat="1" ht="20.100000000000001" customHeight="1">
      <c r="A39" s="19" t="s">
        <v>75</v>
      </c>
      <c r="B39" s="34">
        <v>0</v>
      </c>
      <c r="C39" s="34">
        <v>0</v>
      </c>
      <c r="D39" s="34">
        <v>0</v>
      </c>
      <c r="E39" s="34">
        <v>0</v>
      </c>
      <c r="F39" s="36">
        <v>0</v>
      </c>
      <c r="G39" s="34">
        <v>0</v>
      </c>
      <c r="H39" s="36">
        <v>0</v>
      </c>
      <c r="I39" s="34">
        <v>0</v>
      </c>
      <c r="J39" s="36">
        <v>0</v>
      </c>
      <c r="K39" s="36">
        <v>0</v>
      </c>
      <c r="L39" s="34">
        <v>0</v>
      </c>
      <c r="M39" s="36">
        <v>0</v>
      </c>
      <c r="N39" s="127">
        <f>-608*($A$76)</f>
        <v>-0.60799999999999998</v>
      </c>
      <c r="O39" s="127">
        <f>3449*($A$76)</f>
        <v>3.4490000000000003</v>
      </c>
      <c r="P39" s="114" t="s">
        <v>71</v>
      </c>
      <c r="Q39" s="127">
        <f>2396*($A$76)</f>
        <v>2.3959999999999999</v>
      </c>
      <c r="R39" s="36">
        <v>0</v>
      </c>
      <c r="S39" s="36">
        <v>0</v>
      </c>
      <c r="T39" s="34">
        <v>0</v>
      </c>
      <c r="U39" s="36">
        <v>0</v>
      </c>
      <c r="V39" s="36">
        <v>0</v>
      </c>
      <c r="W39" s="36">
        <v>0</v>
      </c>
      <c r="X39" s="34">
        <v>0</v>
      </c>
      <c r="Y39" s="36">
        <v>0</v>
      </c>
      <c r="Z39" s="36">
        <v>0</v>
      </c>
      <c r="AA39" s="36">
        <v>0</v>
      </c>
      <c r="AB39" s="34">
        <v>0</v>
      </c>
      <c r="AC39" s="36">
        <v>0</v>
      </c>
      <c r="AD39" s="36">
        <v>0</v>
      </c>
      <c r="AE39" s="36">
        <v>0</v>
      </c>
      <c r="AF39" s="52">
        <v>0</v>
      </c>
      <c r="AG39" s="54">
        <v>0</v>
      </c>
      <c r="AH39" s="54">
        <v>0</v>
      </c>
      <c r="AI39" s="54">
        <v>0</v>
      </c>
      <c r="AJ39" s="52">
        <v>0</v>
      </c>
    </row>
    <row r="40" spans="1:36" s="32" customFormat="1" ht="20.100000000000001" customHeight="1">
      <c r="A40" s="19" t="s">
        <v>76</v>
      </c>
      <c r="B40" s="45" t="s">
        <v>71</v>
      </c>
      <c r="C40" s="45" t="s">
        <v>71</v>
      </c>
      <c r="D40" s="45" t="s">
        <v>71</v>
      </c>
      <c r="E40" s="45" t="s">
        <v>71</v>
      </c>
      <c r="F40" s="46" t="s">
        <v>71</v>
      </c>
      <c r="G40" s="117" t="s">
        <v>71</v>
      </c>
      <c r="H40" s="46" t="s">
        <v>71</v>
      </c>
      <c r="I40" s="117" t="s">
        <v>71</v>
      </c>
      <c r="J40" s="46" t="s">
        <v>71</v>
      </c>
      <c r="K40" s="118" t="s">
        <v>71</v>
      </c>
      <c r="L40" s="114" t="s">
        <v>71</v>
      </c>
      <c r="M40" s="118" t="s">
        <v>71</v>
      </c>
      <c r="N40" s="119" t="s">
        <v>71</v>
      </c>
      <c r="O40" s="119" t="s">
        <v>71</v>
      </c>
      <c r="P40" s="21">
        <v>9.6110000000000007</v>
      </c>
      <c r="Q40" s="118" t="s">
        <v>71</v>
      </c>
      <c r="R40" s="22">
        <f>1225*($A$76)</f>
        <v>1.2250000000000001</v>
      </c>
      <c r="S40" s="127">
        <f>-8191*($A$76)</f>
        <v>-8.1910000000000007</v>
      </c>
      <c r="T40" s="128">
        <f>-16327*($A$76)</f>
        <v>-16.327000000000002</v>
      </c>
      <c r="U40" s="127">
        <f>-17667*($A$76)</f>
        <v>-17.667000000000002</v>
      </c>
      <c r="V40" s="127">
        <f>-13285*($A$76)</f>
        <v>-13.285</v>
      </c>
      <c r="W40" s="127">
        <f>-11455*($A$76)</f>
        <v>-11.455</v>
      </c>
      <c r="X40" s="128">
        <f>-8964*($A$76)</f>
        <v>-8.9640000000000004</v>
      </c>
      <c r="Y40" s="36">
        <v>0</v>
      </c>
      <c r="Z40" s="36">
        <v>0</v>
      </c>
      <c r="AA40" s="129">
        <v>-9.1999999999999993</v>
      </c>
      <c r="AB40" s="130">
        <v>-12.2</v>
      </c>
      <c r="AC40" s="129">
        <v>-12.7</v>
      </c>
      <c r="AD40" s="129">
        <v>-7.9</v>
      </c>
      <c r="AE40" s="129">
        <v>-8.1999999999999993</v>
      </c>
      <c r="AF40" s="30">
        <v>-3.7</v>
      </c>
      <c r="AG40" s="53">
        <v>-1.7</v>
      </c>
      <c r="AH40" s="53">
        <v>0.1</v>
      </c>
      <c r="AI40" s="53">
        <v>2.2000000000000002</v>
      </c>
      <c r="AJ40" s="30">
        <v>4.5</v>
      </c>
    </row>
    <row r="41" spans="1:36" s="32" customFormat="1" ht="20.100000000000001" customHeight="1" thickBot="1">
      <c r="A41" s="19" t="s">
        <v>77</v>
      </c>
      <c r="B41" s="42">
        <f>-94429*($A$76)</f>
        <v>-94.429000000000002</v>
      </c>
      <c r="C41" s="42">
        <f>-128937*($A$76)</f>
        <v>-128.93700000000001</v>
      </c>
      <c r="D41" s="42">
        <f>-73188*($A$76)</f>
        <v>-73.188000000000002</v>
      </c>
      <c r="E41" s="42">
        <f>36733*($A$76)</f>
        <v>36.733000000000004</v>
      </c>
      <c r="F41" s="22">
        <f>179696*($A$76)</f>
        <v>179.696</v>
      </c>
      <c r="G41" s="21">
        <f>268467*($A$76)</f>
        <v>268.46699999999998</v>
      </c>
      <c r="H41" s="22">
        <f>125905*($A$76)</f>
        <v>125.905</v>
      </c>
      <c r="I41" s="21">
        <f>227509*($A$76)</f>
        <v>227.50900000000001</v>
      </c>
      <c r="J41" s="22">
        <f>145155*($A$76)</f>
        <v>145.155</v>
      </c>
      <c r="K41" s="22">
        <f>213548*($A$76)</f>
        <v>213.548</v>
      </c>
      <c r="L41" s="21">
        <f>250497*($A$76)</f>
        <v>250.49700000000001</v>
      </c>
      <c r="M41" s="22">
        <f>326895*($A$76)</f>
        <v>326.89499999999998</v>
      </c>
      <c r="N41" s="22">
        <f>120646*($A$76)</f>
        <v>120.646</v>
      </c>
      <c r="O41" s="22">
        <f>58659*($A$76)</f>
        <v>58.658999999999999</v>
      </c>
      <c r="P41" s="21">
        <f>577395*($A$76)</f>
        <v>577.39499999999998</v>
      </c>
      <c r="Q41" s="22">
        <f>340065*($A$76)</f>
        <v>340.065</v>
      </c>
      <c r="R41" s="22">
        <f>882007*($A$76)</f>
        <v>882.00700000000006</v>
      </c>
      <c r="S41" s="115">
        <f>1054069*($A$76)</f>
        <v>1054.069</v>
      </c>
      <c r="T41" s="122">
        <f>1175693*($A$76)</f>
        <v>1175.693</v>
      </c>
      <c r="U41" s="115">
        <f>1270798*($A$76)</f>
        <v>1270.798</v>
      </c>
      <c r="V41" s="115">
        <f>1351543*($A$76)</f>
        <v>1351.5430000000001</v>
      </c>
      <c r="W41" s="115">
        <f>1527994*($A$76)</f>
        <v>1527.9940000000001</v>
      </c>
      <c r="X41" s="122">
        <f>1701138*($A$76)</f>
        <v>1701.1380000000001</v>
      </c>
      <c r="Y41" s="115">
        <f>1799310*($A$76)</f>
        <v>1799.31</v>
      </c>
      <c r="Z41" s="124">
        <v>1828.6</v>
      </c>
      <c r="AA41" s="124">
        <v>1876.8</v>
      </c>
      <c r="AB41" s="111">
        <v>1890.8</v>
      </c>
      <c r="AC41" s="124">
        <v>2061.6</v>
      </c>
      <c r="AD41" s="124">
        <v>2366.1</v>
      </c>
      <c r="AE41" s="124">
        <v>2868.6</v>
      </c>
      <c r="AF41" s="30">
        <v>3054.2</v>
      </c>
      <c r="AG41" s="53">
        <v>3229.7</v>
      </c>
      <c r="AH41" s="53">
        <v>3467.4</v>
      </c>
      <c r="AI41" s="53">
        <v>3745.6</v>
      </c>
      <c r="AJ41" s="30">
        <v>4095.5</v>
      </c>
    </row>
    <row r="42" spans="1:36" s="77" customFormat="1" ht="20.100000000000001" customHeight="1" thickBot="1">
      <c r="A42" s="131" t="s">
        <v>78</v>
      </c>
      <c r="B42" s="132">
        <f t="shared" ref="B42:I42" si="23">SUM(B34:B41)</f>
        <v>-93.929000000000002</v>
      </c>
      <c r="C42" s="132">
        <f t="shared" si="23"/>
        <v>-118.43700000000001</v>
      </c>
      <c r="D42" s="132">
        <f t="shared" si="23"/>
        <v>-62.688000000000002</v>
      </c>
      <c r="E42" s="132">
        <f t="shared" si="23"/>
        <v>61.14</v>
      </c>
      <c r="F42" s="69">
        <f t="shared" si="23"/>
        <v>204.10300000000001</v>
      </c>
      <c r="G42" s="68">
        <f t="shared" si="23"/>
        <v>293.33799999999997</v>
      </c>
      <c r="H42" s="69">
        <f t="shared" si="23"/>
        <v>220.809</v>
      </c>
      <c r="I42" s="68">
        <f t="shared" si="23"/>
        <v>322.41300000000001</v>
      </c>
      <c r="J42" s="69">
        <f t="shared" ref="J42:AJ42" si="24">SUM(J34:J41)</f>
        <v>322.596</v>
      </c>
      <c r="K42" s="69">
        <f t="shared" si="24"/>
        <v>390.98900000000003</v>
      </c>
      <c r="L42" s="68">
        <f t="shared" si="24"/>
        <v>427.93799999999999</v>
      </c>
      <c r="M42" s="69">
        <f t="shared" si="24"/>
        <v>504.33600000000001</v>
      </c>
      <c r="N42" s="133">
        <f t="shared" si="24"/>
        <v>1870.5870000000002</v>
      </c>
      <c r="O42" s="133">
        <f t="shared" si="24"/>
        <v>1818.8140000000003</v>
      </c>
      <c r="P42" s="134">
        <f t="shared" si="24"/>
        <v>1896.0430000000001</v>
      </c>
      <c r="Q42" s="133">
        <f t="shared" si="24"/>
        <v>2090.7669999999998</v>
      </c>
      <c r="R42" s="133">
        <f t="shared" si="24"/>
        <v>2192.2690000000002</v>
      </c>
      <c r="S42" s="133">
        <f t="shared" si="24"/>
        <v>2354.915</v>
      </c>
      <c r="T42" s="134">
        <f t="shared" si="24"/>
        <v>2468.4030000000002</v>
      </c>
      <c r="U42" s="133">
        <f t="shared" si="24"/>
        <v>2562.1680000000001</v>
      </c>
      <c r="V42" s="133">
        <f t="shared" si="24"/>
        <v>2647.2950000000001</v>
      </c>
      <c r="W42" s="133">
        <f t="shared" si="24"/>
        <v>2825.576</v>
      </c>
      <c r="X42" s="134">
        <f t="shared" si="24"/>
        <v>3001.2110000000002</v>
      </c>
      <c r="Y42" s="133">
        <f t="shared" si="24"/>
        <v>3108.3469999999998</v>
      </c>
      <c r="Z42" s="135">
        <f t="shared" si="24"/>
        <v>9091.7000000000007</v>
      </c>
      <c r="AA42" s="135">
        <f t="shared" si="24"/>
        <v>9130.7000000000007</v>
      </c>
      <c r="AB42" s="136">
        <f t="shared" si="24"/>
        <v>9078.2000000000007</v>
      </c>
      <c r="AC42" s="135">
        <f t="shared" si="24"/>
        <v>9311.9</v>
      </c>
      <c r="AD42" s="135">
        <f t="shared" si="24"/>
        <v>9557.8000000000011</v>
      </c>
      <c r="AE42" s="135">
        <f t="shared" si="24"/>
        <v>10060</v>
      </c>
      <c r="AF42" s="137">
        <f t="shared" si="24"/>
        <v>10250.1</v>
      </c>
      <c r="AG42" s="138">
        <f t="shared" si="24"/>
        <v>10427.6</v>
      </c>
      <c r="AH42" s="138">
        <f t="shared" si="24"/>
        <v>10667.1</v>
      </c>
      <c r="AI42" s="138">
        <f t="shared" si="24"/>
        <v>10947.4</v>
      </c>
      <c r="AJ42" s="137">
        <f t="shared" si="24"/>
        <v>11299.6</v>
      </c>
    </row>
    <row r="43" spans="1:36" s="32" customFormat="1" ht="20.100000000000001" customHeight="1" thickBot="1">
      <c r="A43" s="19" t="s">
        <v>79</v>
      </c>
      <c r="B43" s="20">
        <f>321*($A$76)</f>
        <v>0.32100000000000001</v>
      </c>
      <c r="C43" s="20">
        <f>126*($A$76)</f>
        <v>0.126</v>
      </c>
      <c r="D43" s="20">
        <f>70*($A$76)</f>
        <v>7.0000000000000007E-2</v>
      </c>
      <c r="E43" s="34">
        <v>0</v>
      </c>
      <c r="F43" s="36">
        <v>0</v>
      </c>
      <c r="G43" s="34">
        <v>0</v>
      </c>
      <c r="H43" s="36">
        <v>0</v>
      </c>
      <c r="I43" s="34">
        <v>0</v>
      </c>
      <c r="J43" s="36">
        <v>0</v>
      </c>
      <c r="K43" s="36">
        <v>0</v>
      </c>
      <c r="L43" s="34">
        <v>0</v>
      </c>
      <c r="M43" s="36">
        <v>0</v>
      </c>
      <c r="N43" s="36">
        <v>0</v>
      </c>
      <c r="O43" s="36">
        <v>0</v>
      </c>
      <c r="P43" s="34">
        <v>0</v>
      </c>
      <c r="Q43" s="36">
        <v>0</v>
      </c>
      <c r="R43" s="36">
        <v>0</v>
      </c>
      <c r="S43" s="36">
        <v>0</v>
      </c>
      <c r="T43" s="34">
        <v>0</v>
      </c>
      <c r="U43" s="36">
        <v>0</v>
      </c>
      <c r="V43" s="36">
        <v>0</v>
      </c>
      <c r="W43" s="139">
        <f>2/1000</f>
        <v>2E-3</v>
      </c>
      <c r="X43" s="140">
        <f>2/1000</f>
        <v>2E-3</v>
      </c>
      <c r="Y43" s="139">
        <f>2/1000</f>
        <v>2E-3</v>
      </c>
      <c r="Z43" s="36">
        <v>0</v>
      </c>
      <c r="AA43" s="36">
        <v>0</v>
      </c>
      <c r="AB43" s="34">
        <v>0</v>
      </c>
      <c r="AC43" s="36">
        <v>0</v>
      </c>
      <c r="AD43" s="36">
        <v>0</v>
      </c>
      <c r="AE43" s="36">
        <v>0</v>
      </c>
      <c r="AF43" s="52">
        <v>0</v>
      </c>
      <c r="AG43" s="54">
        <v>-22.4</v>
      </c>
      <c r="AH43" s="54">
        <v>94.5</v>
      </c>
      <c r="AI43" s="54">
        <v>86.1</v>
      </c>
      <c r="AJ43" s="52">
        <v>78</v>
      </c>
    </row>
    <row r="44" spans="1:36" s="77" customFormat="1" ht="20.100000000000001" customHeight="1" thickBot="1">
      <c r="A44" s="131" t="s">
        <v>80</v>
      </c>
      <c r="B44" s="141">
        <f>B42+B43</f>
        <v>-93.608000000000004</v>
      </c>
      <c r="C44" s="141">
        <f t="shared" ref="C44:S44" si="25">C42+C43</f>
        <v>-118.31100000000001</v>
      </c>
      <c r="D44" s="141">
        <f t="shared" si="25"/>
        <v>-62.618000000000002</v>
      </c>
      <c r="E44" s="141">
        <f t="shared" si="25"/>
        <v>61.14</v>
      </c>
      <c r="F44" s="69">
        <f t="shared" si="25"/>
        <v>204.10300000000001</v>
      </c>
      <c r="G44" s="68">
        <f t="shared" si="25"/>
        <v>293.33799999999997</v>
      </c>
      <c r="H44" s="69">
        <f t="shared" si="25"/>
        <v>220.809</v>
      </c>
      <c r="I44" s="68">
        <f t="shared" si="25"/>
        <v>322.41300000000001</v>
      </c>
      <c r="J44" s="69">
        <f t="shared" si="25"/>
        <v>322.596</v>
      </c>
      <c r="K44" s="69">
        <f t="shared" si="25"/>
        <v>390.98900000000003</v>
      </c>
      <c r="L44" s="68">
        <f t="shared" si="25"/>
        <v>427.93799999999999</v>
      </c>
      <c r="M44" s="69">
        <f t="shared" si="25"/>
        <v>504.33600000000001</v>
      </c>
      <c r="N44" s="133">
        <f t="shared" si="25"/>
        <v>1870.5870000000002</v>
      </c>
      <c r="O44" s="133">
        <f t="shared" si="25"/>
        <v>1818.8140000000003</v>
      </c>
      <c r="P44" s="134">
        <f t="shared" si="25"/>
        <v>1896.0430000000001</v>
      </c>
      <c r="Q44" s="133">
        <f t="shared" si="25"/>
        <v>2090.7669999999998</v>
      </c>
      <c r="R44" s="133">
        <f t="shared" si="25"/>
        <v>2192.2690000000002</v>
      </c>
      <c r="S44" s="133">
        <f t="shared" si="25"/>
        <v>2354.915</v>
      </c>
      <c r="T44" s="134">
        <f t="shared" ref="T44:V44" si="26">T42</f>
        <v>2468.4030000000002</v>
      </c>
      <c r="U44" s="133">
        <f t="shared" si="26"/>
        <v>2562.1680000000001</v>
      </c>
      <c r="V44" s="133">
        <f t="shared" si="26"/>
        <v>2647.2950000000001</v>
      </c>
      <c r="W44" s="133">
        <f>SUM(W42:W43)</f>
        <v>2825.578</v>
      </c>
      <c r="X44" s="134">
        <f t="shared" ref="X44:AJ44" si="27">X42+X43</f>
        <v>3001.2130000000002</v>
      </c>
      <c r="Y44" s="133">
        <f t="shared" si="27"/>
        <v>3108.3489999999997</v>
      </c>
      <c r="Z44" s="135">
        <f t="shared" si="27"/>
        <v>9091.7000000000007</v>
      </c>
      <c r="AA44" s="135">
        <f t="shared" si="27"/>
        <v>9130.7000000000007</v>
      </c>
      <c r="AB44" s="136">
        <f t="shared" si="27"/>
        <v>9078.2000000000007</v>
      </c>
      <c r="AC44" s="135">
        <f t="shared" si="27"/>
        <v>9311.9</v>
      </c>
      <c r="AD44" s="135">
        <f t="shared" si="27"/>
        <v>9557.8000000000011</v>
      </c>
      <c r="AE44" s="135">
        <f t="shared" si="27"/>
        <v>10060</v>
      </c>
      <c r="AF44" s="137">
        <f t="shared" si="27"/>
        <v>10250.1</v>
      </c>
      <c r="AG44" s="138">
        <f t="shared" si="27"/>
        <v>10405.200000000001</v>
      </c>
      <c r="AH44" s="138">
        <f t="shared" si="27"/>
        <v>10761.6</v>
      </c>
      <c r="AI44" s="138">
        <f t="shared" si="27"/>
        <v>11033.5</v>
      </c>
      <c r="AJ44" s="137">
        <f t="shared" si="27"/>
        <v>11377.6</v>
      </c>
    </row>
    <row r="45" spans="1:36" s="32" customFormat="1" ht="20.100000000000001" customHeight="1">
      <c r="A45" s="19" t="s">
        <v>81</v>
      </c>
      <c r="B45" s="20">
        <f>198263*($A$76)</f>
        <v>198.26300000000001</v>
      </c>
      <c r="C45" s="34">
        <v>0</v>
      </c>
      <c r="D45" s="78">
        <f>29240*($A$76)</f>
        <v>29.240000000000002</v>
      </c>
      <c r="E45" s="21">
        <f>132226*($A$76)</f>
        <v>132.226</v>
      </c>
      <c r="F45" s="22">
        <f>73747*($A$76)</f>
        <v>73.747</v>
      </c>
      <c r="G45" s="21">
        <f>44135*($A$76)</f>
        <v>44.134999999999998</v>
      </c>
      <c r="H45" s="22">
        <f>15054*($A$76)</f>
        <v>15.054</v>
      </c>
      <c r="I45" s="34">
        <v>0</v>
      </c>
      <c r="J45" s="36">
        <v>0</v>
      </c>
      <c r="K45" s="36">
        <v>0</v>
      </c>
      <c r="L45" s="34">
        <v>0</v>
      </c>
      <c r="M45" s="36">
        <v>0</v>
      </c>
      <c r="N45" s="22">
        <f>1061912*($A$76)</f>
        <v>1061.912</v>
      </c>
      <c r="O45" s="22">
        <f>1018123*($A$76)</f>
        <v>1018.123</v>
      </c>
      <c r="P45" s="21">
        <f>958407*($A$76)</f>
        <v>958.40700000000004</v>
      </c>
      <c r="Q45" s="22">
        <f>932068*($A$76)</f>
        <v>932.06799999999998</v>
      </c>
      <c r="R45" s="22">
        <f>889155*($A$76)</f>
        <v>889.15499999999997</v>
      </c>
      <c r="S45" s="142">
        <f>680371*($A$76)</f>
        <v>680.37099999999998</v>
      </c>
      <c r="T45" s="109">
        <f>592003*($A$76)</f>
        <v>592.00300000000004</v>
      </c>
      <c r="U45" s="110">
        <f>572819*($A$76)</f>
        <v>572.81899999999996</v>
      </c>
      <c r="V45" s="110">
        <f>422858*($A$76)</f>
        <v>422.858</v>
      </c>
      <c r="W45" s="110">
        <f>329798*($A$76)</f>
        <v>329.798</v>
      </c>
      <c r="X45" s="109">
        <f>239889*($A$76)</f>
        <v>239.88900000000001</v>
      </c>
      <c r="Y45" s="110">
        <f>236277*($A$76)</f>
        <v>236.27700000000002</v>
      </c>
      <c r="Z45" s="27">
        <v>8446.1</v>
      </c>
      <c r="AA45" s="27">
        <v>7976.3</v>
      </c>
      <c r="AB45" s="111">
        <v>7683.5</v>
      </c>
      <c r="AC45" s="124">
        <v>7357.9</v>
      </c>
      <c r="AD45" s="124">
        <v>7034.6</v>
      </c>
      <c r="AE45" s="27">
        <v>5644.9</v>
      </c>
      <c r="AF45" s="30">
        <v>5379.8</v>
      </c>
      <c r="AG45" s="53">
        <v>9982.1</v>
      </c>
      <c r="AH45" s="53">
        <v>9752</v>
      </c>
      <c r="AI45" s="53">
        <v>9530.2999999999993</v>
      </c>
      <c r="AJ45" s="30">
        <v>9302.7000000000007</v>
      </c>
    </row>
    <row r="46" spans="1:36" s="32" customFormat="1" ht="20.100000000000001" customHeight="1">
      <c r="A46" s="19" t="s">
        <v>82</v>
      </c>
      <c r="B46" s="34">
        <v>0</v>
      </c>
      <c r="C46" s="34">
        <v>0</v>
      </c>
      <c r="D46" s="34">
        <v>0</v>
      </c>
      <c r="E46" s="34">
        <v>0</v>
      </c>
      <c r="F46" s="36">
        <v>0</v>
      </c>
      <c r="G46" s="34">
        <v>0</v>
      </c>
      <c r="H46" s="36">
        <v>0</v>
      </c>
      <c r="I46" s="34">
        <v>0</v>
      </c>
      <c r="J46" s="36">
        <v>0</v>
      </c>
      <c r="K46" s="36">
        <v>0</v>
      </c>
      <c r="L46" s="34">
        <v>0</v>
      </c>
      <c r="M46" s="36">
        <v>0</v>
      </c>
      <c r="N46" s="22">
        <f>1277148*($A$76)</f>
        <v>1277.1480000000001</v>
      </c>
      <c r="O46" s="22">
        <f>1439935*($A$76)</f>
        <v>1439.9349999999999</v>
      </c>
      <c r="P46" s="21">
        <f>1417525*($A$76)</f>
        <v>1417.5250000000001</v>
      </c>
      <c r="Q46" s="22">
        <f>1360637*($A$76)</f>
        <v>1360.6369999999999</v>
      </c>
      <c r="R46" s="22">
        <f>1369593*($A$76)</f>
        <v>1369.5930000000001</v>
      </c>
      <c r="S46" s="142">
        <f>1347224*($A$76)</f>
        <v>1347.2239999999999</v>
      </c>
      <c r="T46" s="109">
        <f>1316479*($A$76)</f>
        <v>1316.479</v>
      </c>
      <c r="U46" s="110">
        <f>1370119*($A$76)</f>
        <v>1370.1190000000001</v>
      </c>
      <c r="V46" s="110">
        <f>1395972*($A$76)</f>
        <v>1395.972</v>
      </c>
      <c r="W46" s="110">
        <f>1385314*($A$76)</f>
        <v>1385.3140000000001</v>
      </c>
      <c r="X46" s="122">
        <f>1340010*($A$76)</f>
        <v>1340.01</v>
      </c>
      <c r="Y46" s="110">
        <f>1396071*($A$76)</f>
        <v>1396.0710000000001</v>
      </c>
      <c r="Z46" s="27">
        <v>4286.8999999999996</v>
      </c>
      <c r="AA46" s="27">
        <v>4302.1000000000004</v>
      </c>
      <c r="AB46" s="111">
        <v>4550.2</v>
      </c>
      <c r="AC46" s="124">
        <v>4470</v>
      </c>
      <c r="AD46" s="124">
        <v>4582.5</v>
      </c>
      <c r="AE46" s="27">
        <v>964.4</v>
      </c>
      <c r="AF46" s="30">
        <v>975.3</v>
      </c>
      <c r="AG46" s="53">
        <v>2252.6</v>
      </c>
      <c r="AH46" s="53">
        <v>1795.1</v>
      </c>
      <c r="AI46" s="53">
        <v>1805.1</v>
      </c>
      <c r="AJ46" s="30">
        <v>1835.7</v>
      </c>
    </row>
    <row r="47" spans="1:36" s="32" customFormat="1" ht="20.100000000000001" customHeight="1">
      <c r="A47" s="19" t="s">
        <v>83</v>
      </c>
      <c r="B47" s="34">
        <v>0</v>
      </c>
      <c r="C47" s="34">
        <v>0</v>
      </c>
      <c r="D47" s="20">
        <f>893*($A$76)</f>
        <v>0.89300000000000002</v>
      </c>
      <c r="E47" s="21">
        <f>1412*($A$76)</f>
        <v>1.4119999999999999</v>
      </c>
      <c r="F47" s="22">
        <f>1227*($A$76)</f>
        <v>1.2270000000000001</v>
      </c>
      <c r="G47" s="21">
        <f>1407*($A$76)</f>
        <v>1.407</v>
      </c>
      <c r="H47" s="22">
        <f>1380*($A$76)</f>
        <v>1.3800000000000001</v>
      </c>
      <c r="I47" s="21">
        <f>1151*($A$76)</f>
        <v>1.151</v>
      </c>
      <c r="J47" s="22">
        <f>1580*($A$76)</f>
        <v>1.58</v>
      </c>
      <c r="K47" s="22">
        <f>1246*($A$76)</f>
        <v>1.246</v>
      </c>
      <c r="L47" s="21">
        <f>1095*($A$76)</f>
        <v>1.095</v>
      </c>
      <c r="M47" s="22">
        <f>1029*($A$76)</f>
        <v>1.0289999999999999</v>
      </c>
      <c r="N47" s="22">
        <f>1103*($A$76)</f>
        <v>1.103</v>
      </c>
      <c r="O47" s="22">
        <f>1032*($A$76)</f>
        <v>1.032</v>
      </c>
      <c r="P47" s="21">
        <f>934*($A$76)</f>
        <v>0.93400000000000005</v>
      </c>
      <c r="Q47" s="22">
        <f>810*($A$76)</f>
        <v>0.81</v>
      </c>
      <c r="R47" s="22">
        <f>741*($A$76)</f>
        <v>0.74099999999999999</v>
      </c>
      <c r="S47" s="142">
        <f>638*($A$76)</f>
        <v>0.63800000000000001</v>
      </c>
      <c r="T47" s="109">
        <f>551*($A$76)</f>
        <v>0.55100000000000005</v>
      </c>
      <c r="U47" s="110">
        <f>474*($A$76)</f>
        <v>0.47400000000000003</v>
      </c>
      <c r="V47" s="110">
        <f>424*($A$76)</f>
        <v>0.42399999999999999</v>
      </c>
      <c r="W47" s="110">
        <f>306*($A$76)</f>
        <v>0.30599999999999999</v>
      </c>
      <c r="X47" s="109">
        <f>227*($A$76)</f>
        <v>0.22700000000000001</v>
      </c>
      <c r="Y47" s="110">
        <f>166*($A$76)</f>
        <v>0.16600000000000001</v>
      </c>
      <c r="Z47" s="33">
        <v>4.5</v>
      </c>
      <c r="AA47" s="33">
        <v>7.9</v>
      </c>
      <c r="AB47" s="111">
        <v>11.7</v>
      </c>
      <c r="AC47" s="112">
        <v>13.4</v>
      </c>
      <c r="AD47" s="112">
        <v>15.7</v>
      </c>
      <c r="AE47" s="33">
        <v>21.3</v>
      </c>
      <c r="AF47" s="30">
        <v>20.9</v>
      </c>
      <c r="AG47" s="31">
        <v>21.2</v>
      </c>
      <c r="AH47" s="31">
        <v>23.3</v>
      </c>
      <c r="AI47" s="31">
        <v>22.1</v>
      </c>
      <c r="AJ47" s="30">
        <v>20.9</v>
      </c>
    </row>
    <row r="48" spans="1:36" s="32" customFormat="1" ht="20.100000000000001" customHeight="1">
      <c r="A48" s="19" t="s">
        <v>84</v>
      </c>
      <c r="B48" s="34">
        <v>0</v>
      </c>
      <c r="C48" s="34">
        <v>0</v>
      </c>
      <c r="D48" s="143">
        <v>0</v>
      </c>
      <c r="E48" s="144">
        <v>0</v>
      </c>
      <c r="F48" s="53">
        <v>0</v>
      </c>
      <c r="G48" s="144">
        <v>0</v>
      </c>
      <c r="H48" s="53">
        <v>0</v>
      </c>
      <c r="I48" s="144">
        <v>0</v>
      </c>
      <c r="J48" s="53">
        <v>0</v>
      </c>
      <c r="K48" s="31">
        <v>0</v>
      </c>
      <c r="L48" s="30">
        <v>0</v>
      </c>
      <c r="M48" s="31">
        <v>0</v>
      </c>
      <c r="N48" s="31">
        <v>0</v>
      </c>
      <c r="O48" s="31">
        <v>0</v>
      </c>
      <c r="P48" s="30">
        <v>0</v>
      </c>
      <c r="Q48" s="31">
        <v>0</v>
      </c>
      <c r="R48" s="31">
        <v>0</v>
      </c>
      <c r="S48" s="31">
        <v>0</v>
      </c>
      <c r="T48" s="30">
        <v>0</v>
      </c>
      <c r="U48" s="31">
        <v>0</v>
      </c>
      <c r="V48" s="31">
        <v>0</v>
      </c>
      <c r="W48" s="31">
        <v>0</v>
      </c>
      <c r="X48" s="30">
        <v>0</v>
      </c>
      <c r="Y48" s="31">
        <v>0</v>
      </c>
      <c r="Z48" s="33">
        <v>835.8</v>
      </c>
      <c r="AA48" s="33">
        <v>730.2</v>
      </c>
      <c r="AB48" s="111">
        <v>750.3</v>
      </c>
      <c r="AC48" s="112">
        <v>724.4</v>
      </c>
      <c r="AD48" s="112">
        <v>747.9</v>
      </c>
      <c r="AE48" s="33">
        <v>645.1</v>
      </c>
      <c r="AF48" s="30">
        <v>652.79999999999995</v>
      </c>
      <c r="AG48" s="31">
        <v>658</v>
      </c>
      <c r="AH48" s="31">
        <v>686.7</v>
      </c>
      <c r="AI48" s="31">
        <v>555.79999999999995</v>
      </c>
      <c r="AJ48" s="30">
        <v>574</v>
      </c>
    </row>
    <row r="49" spans="1:36" s="32" customFormat="1" ht="20.100000000000001" customHeight="1">
      <c r="A49" s="19" t="s">
        <v>85</v>
      </c>
      <c r="B49" s="20">
        <f>8543*($A$76)</f>
        <v>8.543000000000001</v>
      </c>
      <c r="C49" s="34">
        <v>0</v>
      </c>
      <c r="D49" s="20">
        <f>22*($A$76)</f>
        <v>2.1999999999999999E-2</v>
      </c>
      <c r="E49" s="20">
        <f>671*($A$76)</f>
        <v>0.67100000000000004</v>
      </c>
      <c r="F49" s="22">
        <f>5029*($A$76)</f>
        <v>5.0289999999999999</v>
      </c>
      <c r="G49" s="21">
        <f>11536*($A$76)</f>
        <v>11.536</v>
      </c>
      <c r="H49" s="22">
        <f>11980*($A$76)</f>
        <v>11.98</v>
      </c>
      <c r="I49" s="21">
        <f>26060*($A$76)</f>
        <v>26.060000000000002</v>
      </c>
      <c r="J49" s="22">
        <f>56863*($A$76)</f>
        <v>56.863</v>
      </c>
      <c r="K49" s="22">
        <f>63455*($A$76)</f>
        <v>63.454999999999998</v>
      </c>
      <c r="L49" s="21">
        <f>65338*($A$76)</f>
        <v>65.338000000000008</v>
      </c>
      <c r="M49" s="22">
        <f>73846*($A$76)</f>
        <v>73.846000000000004</v>
      </c>
      <c r="N49" s="22">
        <f>86665*($A$76)</f>
        <v>86.665000000000006</v>
      </c>
      <c r="O49" s="22">
        <f>63474*($A$76)</f>
        <v>63.474000000000004</v>
      </c>
      <c r="P49" s="21">
        <f>87122*($A$76)</f>
        <v>87.122</v>
      </c>
      <c r="Q49" s="22">
        <f>87307*($A$76)</f>
        <v>87.307000000000002</v>
      </c>
      <c r="R49" s="22">
        <f>88480*($A$76)</f>
        <v>88.48</v>
      </c>
      <c r="S49" s="22">
        <f>97271*($A$76)</f>
        <v>97.271000000000001</v>
      </c>
      <c r="T49" s="109">
        <f>94258*($A$76)</f>
        <v>94.257999999999996</v>
      </c>
      <c r="U49" s="110">
        <f>93487*($A$76)</f>
        <v>93.487000000000009</v>
      </c>
      <c r="V49" s="110">
        <f>93150*($A$76)</f>
        <v>93.15</v>
      </c>
      <c r="W49" s="110">
        <f>98799*($A$76)</f>
        <v>98.799000000000007</v>
      </c>
      <c r="X49" s="109">
        <f>108066*($A$76)</f>
        <v>108.066</v>
      </c>
      <c r="Y49" s="110">
        <f>95950*($A$76)</f>
        <v>95.95</v>
      </c>
      <c r="Z49" s="27">
        <v>1010.7</v>
      </c>
      <c r="AA49" s="27">
        <v>1038.8</v>
      </c>
      <c r="AB49" s="111">
        <v>908.7</v>
      </c>
      <c r="AC49" s="112">
        <v>888.6</v>
      </c>
      <c r="AD49" s="112">
        <v>821.1</v>
      </c>
      <c r="AE49" s="27">
        <v>770.4</v>
      </c>
      <c r="AF49" s="30">
        <v>615.79999999999995</v>
      </c>
      <c r="AG49" s="31">
        <v>694.4</v>
      </c>
      <c r="AH49" s="31">
        <v>889.1</v>
      </c>
      <c r="AI49" s="31">
        <v>923.2</v>
      </c>
      <c r="AJ49" s="30">
        <v>786.9</v>
      </c>
    </row>
    <row r="50" spans="1:36" s="32" customFormat="1" ht="20.100000000000001" customHeight="1">
      <c r="A50" s="19" t="s">
        <v>86</v>
      </c>
      <c r="B50" s="45" t="s">
        <v>87</v>
      </c>
      <c r="C50" s="45" t="s">
        <v>87</v>
      </c>
      <c r="D50" s="45" t="s">
        <v>87</v>
      </c>
      <c r="E50" s="45" t="s">
        <v>87</v>
      </c>
      <c r="F50" s="145" t="s">
        <v>87</v>
      </c>
      <c r="G50" s="45" t="s">
        <v>87</v>
      </c>
      <c r="H50" s="145" t="s">
        <v>87</v>
      </c>
      <c r="I50" s="45" t="s">
        <v>87</v>
      </c>
      <c r="J50" s="145" t="s">
        <v>87</v>
      </c>
      <c r="K50" s="145" t="s">
        <v>87</v>
      </c>
      <c r="L50" s="45" t="s">
        <v>87</v>
      </c>
      <c r="M50" s="145" t="s">
        <v>87</v>
      </c>
      <c r="N50" s="145" t="s">
        <v>87</v>
      </c>
      <c r="O50" s="145" t="s">
        <v>87</v>
      </c>
      <c r="P50" s="21">
        <f>7595*($A$76)</f>
        <v>7.5949999999999998</v>
      </c>
      <c r="Q50" s="118" t="s">
        <v>87</v>
      </c>
      <c r="R50" s="22">
        <f>6285*($A$76)</f>
        <v>6.2850000000000001</v>
      </c>
      <c r="S50" s="22">
        <f>5716*($A$76)</f>
        <v>5.7160000000000002</v>
      </c>
      <c r="T50" s="109">
        <f>5181*($A$76)</f>
        <v>5.181</v>
      </c>
      <c r="U50" s="110">
        <f>4978*($A$76)</f>
        <v>4.9779999999999998</v>
      </c>
      <c r="V50" s="110">
        <f>4754*($A$76)</f>
        <v>4.7540000000000004</v>
      </c>
      <c r="W50" s="110">
        <f>4303*($A$76)</f>
        <v>4.3029999999999999</v>
      </c>
      <c r="X50" s="109">
        <f>4079*($A$76)</f>
        <v>4.0789999999999997</v>
      </c>
      <c r="Y50" s="110">
        <f>3008*($A$76)</f>
        <v>3.008</v>
      </c>
      <c r="Z50" s="33">
        <v>2.8</v>
      </c>
      <c r="AA50" s="33">
        <v>3.9</v>
      </c>
      <c r="AB50" s="111">
        <v>4.7</v>
      </c>
      <c r="AC50" s="112">
        <v>5.5</v>
      </c>
      <c r="AD50" s="112">
        <v>5</v>
      </c>
      <c r="AE50" s="33">
        <v>4.5</v>
      </c>
      <c r="AF50" s="30">
        <v>4.7</v>
      </c>
      <c r="AG50" s="31">
        <v>22.1</v>
      </c>
      <c r="AH50" s="31">
        <v>21</v>
      </c>
      <c r="AI50" s="31">
        <v>20.100000000000001</v>
      </c>
      <c r="AJ50" s="30">
        <v>20.100000000000001</v>
      </c>
    </row>
    <row r="51" spans="1:36" s="32" customFormat="1" ht="20.100000000000001" customHeight="1">
      <c r="A51" s="19" t="s">
        <v>88</v>
      </c>
      <c r="B51" s="20">
        <f>4048*($A$76)</f>
        <v>4.048</v>
      </c>
      <c r="C51" s="20">
        <f>1898*($A$76)</f>
        <v>1.8980000000000001</v>
      </c>
      <c r="D51" s="20">
        <f>564*($A$76)</f>
        <v>0.56400000000000006</v>
      </c>
      <c r="E51" s="20">
        <f>605*($A$76)</f>
        <v>0.60499999999999998</v>
      </c>
      <c r="F51" s="22">
        <f>243*($A$76)</f>
        <v>0.24299999999999999</v>
      </c>
      <c r="G51" s="20">
        <f>269*($A$76)</f>
        <v>0.26900000000000002</v>
      </c>
      <c r="H51" s="22">
        <f>489*($A$76)</f>
        <v>0.48899999999999999</v>
      </c>
      <c r="I51" s="21">
        <f>1543*($A$76)</f>
        <v>1.5429999999999999</v>
      </c>
      <c r="J51" s="22">
        <f>2446*($A$76)</f>
        <v>2.4460000000000002</v>
      </c>
      <c r="K51" s="22">
        <f>2441*($A$76)</f>
        <v>2.4409999999999998</v>
      </c>
      <c r="L51" s="21">
        <f>2384*($A$76)</f>
        <v>2.3839999999999999</v>
      </c>
      <c r="M51" s="22">
        <f>2317*($A$76)</f>
        <v>2.3170000000000002</v>
      </c>
      <c r="N51" s="22">
        <f>11108*($A$76)</f>
        <v>11.108000000000001</v>
      </c>
      <c r="O51" s="22">
        <f>12002*($A$76)</f>
        <v>12.002000000000001</v>
      </c>
      <c r="P51" s="21">
        <f>12497*($A$76)</f>
        <v>12.497</v>
      </c>
      <c r="Q51" s="22">
        <f>13779*($A$76)</f>
        <v>13.779</v>
      </c>
      <c r="R51" s="22">
        <f>17835*($A$76)</f>
        <v>17.835000000000001</v>
      </c>
      <c r="S51" s="22">
        <f>19037*($A$76)</f>
        <v>19.036999999999999</v>
      </c>
      <c r="T51" s="109">
        <f>17690*($A$76)</f>
        <v>17.690000000000001</v>
      </c>
      <c r="U51" s="110">
        <f>17684*($A$76)</f>
        <v>17.684000000000001</v>
      </c>
      <c r="V51" s="110">
        <f>10154*($A$76)</f>
        <v>10.154</v>
      </c>
      <c r="W51" s="110">
        <f>8594*($A$76)</f>
        <v>8.5939999999999994</v>
      </c>
      <c r="X51" s="109">
        <f>7915*($A$76)</f>
        <v>7.915</v>
      </c>
      <c r="Y51" s="110">
        <f>7828*($A$76)</f>
        <v>7.8280000000000003</v>
      </c>
      <c r="Z51" s="33">
        <v>158.19999999999999</v>
      </c>
      <c r="AA51" s="33">
        <v>164.6</v>
      </c>
      <c r="AB51" s="111">
        <v>184.2</v>
      </c>
      <c r="AC51" s="112">
        <v>167.4</v>
      </c>
      <c r="AD51" s="112">
        <v>132.4</v>
      </c>
      <c r="AE51" s="33">
        <v>133.1</v>
      </c>
      <c r="AF51" s="30">
        <v>124.2</v>
      </c>
      <c r="AG51" s="31">
        <v>157.30000000000001</v>
      </c>
      <c r="AH51" s="31">
        <v>148.9</v>
      </c>
      <c r="AI51" s="31">
        <v>148.19999999999999</v>
      </c>
      <c r="AJ51" s="30">
        <v>130.19999999999999</v>
      </c>
    </row>
    <row r="52" spans="1:36" s="66" customFormat="1" ht="20.100000000000001" customHeight="1" thickBot="1">
      <c r="A52" s="56" t="s">
        <v>89</v>
      </c>
      <c r="B52" s="57">
        <v>0</v>
      </c>
      <c r="C52" s="57">
        <v>0</v>
      </c>
      <c r="D52" s="57">
        <v>0</v>
      </c>
      <c r="E52" s="57">
        <v>0</v>
      </c>
      <c r="F52" s="59">
        <v>0</v>
      </c>
      <c r="G52" s="57">
        <v>0</v>
      </c>
      <c r="H52" s="59">
        <v>0</v>
      </c>
      <c r="I52" s="58">
        <v>0</v>
      </c>
      <c r="J52" s="59">
        <v>0</v>
      </c>
      <c r="K52" s="59">
        <v>0</v>
      </c>
      <c r="L52" s="58">
        <v>0</v>
      </c>
      <c r="M52" s="59">
        <v>0</v>
      </c>
      <c r="N52" s="59">
        <v>0</v>
      </c>
      <c r="O52" s="59">
        <v>0</v>
      </c>
      <c r="P52" s="58">
        <v>0</v>
      </c>
      <c r="Q52" s="59">
        <v>0</v>
      </c>
      <c r="R52" s="59">
        <v>0</v>
      </c>
      <c r="S52" s="59">
        <v>0</v>
      </c>
      <c r="T52" s="62">
        <v>0</v>
      </c>
      <c r="U52" s="61">
        <v>0</v>
      </c>
      <c r="V52" s="61">
        <v>0</v>
      </c>
      <c r="W52" s="61">
        <v>0</v>
      </c>
      <c r="X52" s="62">
        <v>0</v>
      </c>
      <c r="Y52" s="61">
        <v>0</v>
      </c>
      <c r="Z52" s="63">
        <v>0</v>
      </c>
      <c r="AA52" s="63">
        <v>0</v>
      </c>
      <c r="AB52" s="146">
        <v>40.1</v>
      </c>
      <c r="AC52" s="147">
        <v>22.6</v>
      </c>
      <c r="AD52" s="147">
        <v>2</v>
      </c>
      <c r="AE52" s="89">
        <v>1.9</v>
      </c>
      <c r="AF52" s="52">
        <v>0</v>
      </c>
      <c r="AG52" s="61">
        <v>1.1000000000000001</v>
      </c>
      <c r="AH52" s="61">
        <v>0.9</v>
      </c>
      <c r="AI52" s="61">
        <v>0</v>
      </c>
      <c r="AJ52" s="52">
        <v>0</v>
      </c>
    </row>
    <row r="53" spans="1:36" s="77" customFormat="1" ht="20.100000000000001" customHeight="1" thickBot="1">
      <c r="A53" s="131" t="s">
        <v>90</v>
      </c>
      <c r="B53" s="68">
        <f>SUM(B45:B51)</f>
        <v>210.85400000000001</v>
      </c>
      <c r="C53" s="68">
        <f>SUM(C45:C52)</f>
        <v>1.8980000000000001</v>
      </c>
      <c r="D53" s="68">
        <f t="shared" ref="D53:Y53" si="28">SUM(D45:D51)</f>
        <v>30.719000000000001</v>
      </c>
      <c r="E53" s="68">
        <f t="shared" si="28"/>
        <v>134.91399999999999</v>
      </c>
      <c r="F53" s="69">
        <f t="shared" si="28"/>
        <v>80.245999999999995</v>
      </c>
      <c r="G53" s="68">
        <f t="shared" si="28"/>
        <v>57.347000000000001</v>
      </c>
      <c r="H53" s="69">
        <f t="shared" si="28"/>
        <v>28.903000000000002</v>
      </c>
      <c r="I53" s="68">
        <f t="shared" si="28"/>
        <v>28.754000000000001</v>
      </c>
      <c r="J53" s="69">
        <f t="shared" si="28"/>
        <v>60.888999999999996</v>
      </c>
      <c r="K53" s="69">
        <f t="shared" si="28"/>
        <v>67.141999999999996</v>
      </c>
      <c r="L53" s="68">
        <f t="shared" si="28"/>
        <v>68.817000000000007</v>
      </c>
      <c r="M53" s="69">
        <f t="shared" si="28"/>
        <v>77.192000000000007</v>
      </c>
      <c r="N53" s="133">
        <f t="shared" si="28"/>
        <v>2437.9360000000006</v>
      </c>
      <c r="O53" s="133">
        <f t="shared" si="28"/>
        <v>2534.5660000000003</v>
      </c>
      <c r="P53" s="134">
        <f t="shared" si="28"/>
        <v>2484.08</v>
      </c>
      <c r="Q53" s="133">
        <f t="shared" si="28"/>
        <v>2394.6009999999997</v>
      </c>
      <c r="R53" s="133">
        <f t="shared" si="28"/>
        <v>2372.0889999999999</v>
      </c>
      <c r="S53" s="133">
        <f t="shared" si="28"/>
        <v>2150.2569999999996</v>
      </c>
      <c r="T53" s="134">
        <f t="shared" si="28"/>
        <v>2026.162</v>
      </c>
      <c r="U53" s="133">
        <f t="shared" si="28"/>
        <v>2059.5610000000001</v>
      </c>
      <c r="V53" s="133">
        <f t="shared" si="28"/>
        <v>1927.3119999999999</v>
      </c>
      <c r="W53" s="133">
        <f t="shared" si="28"/>
        <v>1827.1140000000003</v>
      </c>
      <c r="X53" s="134">
        <f t="shared" si="28"/>
        <v>1700.1859999999999</v>
      </c>
      <c r="Y53" s="133">
        <f t="shared" si="28"/>
        <v>1739.3000000000002</v>
      </c>
      <c r="Z53" s="72">
        <f>SUM(Z45:Z52)</f>
        <v>14745</v>
      </c>
      <c r="AA53" s="72">
        <f>SUM(AA45:AA52)</f>
        <v>14223.800000000001</v>
      </c>
      <c r="AB53" s="136">
        <f t="shared" ref="AB53:AG53" si="29">SUM(AB45:AB52)-AB52</f>
        <v>14093.300000000003</v>
      </c>
      <c r="AC53" s="135">
        <f t="shared" si="29"/>
        <v>13627.199999999999</v>
      </c>
      <c r="AD53" s="135">
        <f t="shared" si="29"/>
        <v>13339.2</v>
      </c>
      <c r="AE53" s="135">
        <f t="shared" si="29"/>
        <v>8183.7</v>
      </c>
      <c r="AF53" s="137">
        <f t="shared" si="29"/>
        <v>7773.5</v>
      </c>
      <c r="AG53" s="138">
        <f t="shared" si="29"/>
        <v>13787.7</v>
      </c>
      <c r="AH53" s="138">
        <f t="shared" ref="AH53:AJ53" si="30">SUM(AH45:AH52)-AH52</f>
        <v>13316.1</v>
      </c>
      <c r="AI53" s="138">
        <f t="shared" si="30"/>
        <v>13004.800000000001</v>
      </c>
      <c r="AJ53" s="137">
        <f t="shared" si="30"/>
        <v>12670.500000000002</v>
      </c>
    </row>
    <row r="54" spans="1:36" s="32" customFormat="1" ht="20.100000000000001" customHeight="1">
      <c r="A54" s="19" t="s">
        <v>81</v>
      </c>
      <c r="B54" s="20">
        <f>30355*($A$76)</f>
        <v>30.355</v>
      </c>
      <c r="C54" s="20">
        <f>247376*($A$76)</f>
        <v>247.376</v>
      </c>
      <c r="D54" s="78">
        <f>208084*($A$76)</f>
        <v>208.084</v>
      </c>
      <c r="E54" s="21">
        <f>88731*($A$76)</f>
        <v>88.731000000000009</v>
      </c>
      <c r="F54" s="22">
        <f>93063*($A$76)</f>
        <v>93.063000000000002</v>
      </c>
      <c r="G54" s="21">
        <f>66571*($A$76)</f>
        <v>66.570999999999998</v>
      </c>
      <c r="H54" s="22">
        <f>63868*($A$76)</f>
        <v>63.868000000000002</v>
      </c>
      <c r="I54" s="21">
        <f>47370*($A$76)</f>
        <v>47.37</v>
      </c>
      <c r="J54" s="22">
        <f>20085*($A$76)</f>
        <v>20.085000000000001</v>
      </c>
      <c r="K54" s="22">
        <f>71541*($A$76)</f>
        <v>71.540999999999997</v>
      </c>
      <c r="L54" s="21">
        <f>18041*($A$76)</f>
        <v>18.041</v>
      </c>
      <c r="M54" s="22">
        <f>164648*($A$76)</f>
        <v>164.648</v>
      </c>
      <c r="N54" s="22">
        <f>225577*($A$76)</f>
        <v>225.577</v>
      </c>
      <c r="O54" s="22">
        <f>230283*($A$76)</f>
        <v>230.28300000000002</v>
      </c>
      <c r="P54" s="21">
        <f>246778*($A$76)</f>
        <v>246.77799999999999</v>
      </c>
      <c r="Q54" s="22">
        <f>250363*($A$76)</f>
        <v>250.363</v>
      </c>
      <c r="R54" s="22">
        <f>265796*($A$76)</f>
        <v>265.79599999999999</v>
      </c>
      <c r="S54" s="22">
        <f>238676*($A$76)</f>
        <v>238.67600000000002</v>
      </c>
      <c r="T54" s="109">
        <f>275608*($A$76)</f>
        <v>275.608</v>
      </c>
      <c r="U54" s="110">
        <f>250329*($A$76)</f>
        <v>250.32900000000001</v>
      </c>
      <c r="V54" s="110">
        <f>263389*($A$76)</f>
        <v>263.38900000000001</v>
      </c>
      <c r="W54" s="110">
        <f>214673*($A$76)</f>
        <v>214.673</v>
      </c>
      <c r="X54" s="109">
        <f>245994*($A$76)</f>
        <v>245.994</v>
      </c>
      <c r="Y54" s="110">
        <f>240921*($A$76)</f>
        <v>240.92099999999999</v>
      </c>
      <c r="Z54" s="27">
        <v>1094.3</v>
      </c>
      <c r="AA54" s="27">
        <v>1365.1</v>
      </c>
      <c r="AB54" s="111">
        <v>1322.6</v>
      </c>
      <c r="AC54" s="124">
        <v>1543.9</v>
      </c>
      <c r="AD54" s="124">
        <v>1169.9000000000001</v>
      </c>
      <c r="AE54" s="27">
        <v>963.7</v>
      </c>
      <c r="AF54" s="30">
        <v>1230.9000000000001</v>
      </c>
      <c r="AG54" s="53">
        <v>1593</v>
      </c>
      <c r="AH54" s="53">
        <v>1251.3</v>
      </c>
      <c r="AI54" s="53">
        <v>1269.4000000000001</v>
      </c>
      <c r="AJ54" s="30">
        <v>1270</v>
      </c>
    </row>
    <row r="55" spans="1:36" s="32" customFormat="1" ht="20.100000000000001" customHeight="1">
      <c r="A55" s="19" t="s">
        <v>82</v>
      </c>
      <c r="B55" s="34">
        <v>0</v>
      </c>
      <c r="C55" s="34">
        <v>0</v>
      </c>
      <c r="D55" s="34">
        <v>0</v>
      </c>
      <c r="E55" s="34">
        <v>0</v>
      </c>
      <c r="F55" s="36">
        <v>0</v>
      </c>
      <c r="G55" s="34">
        <v>0</v>
      </c>
      <c r="H55" s="36">
        <v>0</v>
      </c>
      <c r="I55" s="34">
        <v>0</v>
      </c>
      <c r="J55" s="36">
        <v>0</v>
      </c>
      <c r="K55" s="36">
        <v>0</v>
      </c>
      <c r="L55" s="34">
        <v>0</v>
      </c>
      <c r="M55" s="36">
        <v>0</v>
      </c>
      <c r="N55" s="22">
        <f>94800*($A$76)</f>
        <v>94.8</v>
      </c>
      <c r="O55" s="22">
        <f>106883*($A$76)</f>
        <v>106.883</v>
      </c>
      <c r="P55" s="21">
        <f>105052*($A$76)</f>
        <v>105.05200000000001</v>
      </c>
      <c r="Q55" s="22">
        <f>100836*($A$76)</f>
        <v>100.836</v>
      </c>
      <c r="R55" s="22">
        <f>101342*($A$76)</f>
        <v>101.342</v>
      </c>
      <c r="S55" s="22">
        <f>99687*($A$76)</f>
        <v>99.686999999999998</v>
      </c>
      <c r="T55" s="109">
        <f>97256*($A$76)</f>
        <v>97.256</v>
      </c>
      <c r="U55" s="110">
        <f>101219*($A$76)</f>
        <v>101.21900000000001</v>
      </c>
      <c r="V55" s="110">
        <f>102957*($A$76)</f>
        <v>102.95700000000001</v>
      </c>
      <c r="W55" s="110">
        <f>102171*($A$76)</f>
        <v>102.17100000000001</v>
      </c>
      <c r="X55" s="109">
        <f>98659*($A$76)</f>
        <v>98.659000000000006</v>
      </c>
      <c r="Y55" s="110">
        <f>101071*($A$76)</f>
        <v>101.071</v>
      </c>
      <c r="Z55" s="33">
        <v>431.9</v>
      </c>
      <c r="AA55" s="33">
        <v>439.1</v>
      </c>
      <c r="AB55" s="111">
        <v>464.4</v>
      </c>
      <c r="AC55" s="112">
        <v>462.5</v>
      </c>
      <c r="AD55" s="112">
        <v>479.4</v>
      </c>
      <c r="AE55" s="33">
        <v>4607.5</v>
      </c>
      <c r="AF55" s="30">
        <v>4776.7</v>
      </c>
      <c r="AG55" s="31">
        <v>41.5</v>
      </c>
      <c r="AH55" s="31">
        <v>42.3</v>
      </c>
      <c r="AI55" s="31">
        <v>41.9</v>
      </c>
      <c r="AJ55" s="30">
        <v>42.4</v>
      </c>
    </row>
    <row r="56" spans="1:36" s="32" customFormat="1" ht="20.100000000000001" customHeight="1">
      <c r="A56" s="19" t="s">
        <v>83</v>
      </c>
      <c r="B56" s="34">
        <v>0</v>
      </c>
      <c r="C56" s="34">
        <v>0</v>
      </c>
      <c r="D56" s="34">
        <v>0</v>
      </c>
      <c r="E56" s="20">
        <f>204*($A$76)</f>
        <v>0.20400000000000001</v>
      </c>
      <c r="F56" s="22">
        <f>191*($A$76)</f>
        <v>0.191</v>
      </c>
      <c r="G56" s="20">
        <f>238*($A$76)</f>
        <v>0.23800000000000002</v>
      </c>
      <c r="H56" s="23">
        <f>255*($A$76)</f>
        <v>0.255</v>
      </c>
      <c r="I56" s="20">
        <f>234*($A$76)</f>
        <v>0.23400000000000001</v>
      </c>
      <c r="J56" s="22">
        <f>729*($A$76)</f>
        <v>0.72899999999999998</v>
      </c>
      <c r="K56" s="22">
        <f>574*($A$76)</f>
        <v>0.57400000000000007</v>
      </c>
      <c r="L56" s="21">
        <f>491*($A$76)</f>
        <v>0.49099999999999999</v>
      </c>
      <c r="M56" s="22">
        <f>430*($A$76)</f>
        <v>0.43</v>
      </c>
      <c r="N56" s="22">
        <f>227*($A$76)</f>
        <v>0.22700000000000001</v>
      </c>
      <c r="O56" s="22">
        <f>251*($A$76)</f>
        <v>0.251</v>
      </c>
      <c r="P56" s="21">
        <f>252*($A$76)</f>
        <v>0.252</v>
      </c>
      <c r="Q56" s="22">
        <f>237*($A$76)</f>
        <v>0.23700000000000002</v>
      </c>
      <c r="R56" s="22">
        <f>243*($A$76)</f>
        <v>0.24299999999999999</v>
      </c>
      <c r="S56" s="22">
        <f>234*($A$76)</f>
        <v>0.23400000000000001</v>
      </c>
      <c r="T56" s="109">
        <f>233*($A$76)</f>
        <v>0.23300000000000001</v>
      </c>
      <c r="U56" s="110">
        <f>238*($A$76)</f>
        <v>0.23800000000000002</v>
      </c>
      <c r="V56" s="110">
        <f>247*($A$76)</f>
        <v>0.247</v>
      </c>
      <c r="W56" s="110">
        <f>240*($A$76)</f>
        <v>0.24</v>
      </c>
      <c r="X56" s="109">
        <f>236*($A$76)</f>
        <v>0.23600000000000002</v>
      </c>
      <c r="Y56" s="110">
        <f>237*($A$76)</f>
        <v>0.23700000000000002</v>
      </c>
      <c r="Z56" s="33">
        <v>5.3</v>
      </c>
      <c r="AA56" s="33">
        <v>5.8</v>
      </c>
      <c r="AB56" s="111">
        <v>6.8</v>
      </c>
      <c r="AC56" s="112">
        <v>2.7</v>
      </c>
      <c r="AD56" s="112">
        <v>3.7</v>
      </c>
      <c r="AE56" s="33">
        <v>4.3</v>
      </c>
      <c r="AF56" s="30">
        <v>4.3</v>
      </c>
      <c r="AG56" s="31">
        <v>4.5</v>
      </c>
      <c r="AH56" s="31">
        <v>4.9000000000000004</v>
      </c>
      <c r="AI56" s="31">
        <v>4.9000000000000004</v>
      </c>
      <c r="AJ56" s="30">
        <v>5</v>
      </c>
    </row>
    <row r="57" spans="1:36" s="32" customFormat="1" ht="20.100000000000001" customHeight="1">
      <c r="A57" s="19" t="s">
        <v>84</v>
      </c>
      <c r="B57" s="52">
        <v>0</v>
      </c>
      <c r="C57" s="52">
        <v>0</v>
      </c>
      <c r="D57" s="52">
        <v>0</v>
      </c>
      <c r="E57" s="144">
        <v>0</v>
      </c>
      <c r="F57" s="53">
        <v>0</v>
      </c>
      <c r="G57" s="144">
        <v>0</v>
      </c>
      <c r="H57" s="53">
        <v>0</v>
      </c>
      <c r="I57" s="144">
        <v>0</v>
      </c>
      <c r="J57" s="53">
        <v>0</v>
      </c>
      <c r="K57" s="53">
        <v>0</v>
      </c>
      <c r="L57" s="144">
        <v>0</v>
      </c>
      <c r="M57" s="53">
        <v>0</v>
      </c>
      <c r="N57" s="31">
        <v>0</v>
      </c>
      <c r="O57" s="31">
        <v>0</v>
      </c>
      <c r="P57" s="30">
        <v>0</v>
      </c>
      <c r="Q57" s="31">
        <v>0</v>
      </c>
      <c r="R57" s="31">
        <v>0</v>
      </c>
      <c r="S57" s="31">
        <v>0</v>
      </c>
      <c r="T57" s="30">
        <v>0</v>
      </c>
      <c r="U57" s="31">
        <v>0</v>
      </c>
      <c r="V57" s="31">
        <v>0</v>
      </c>
      <c r="W57" s="31">
        <v>0</v>
      </c>
      <c r="X57" s="30">
        <v>0</v>
      </c>
      <c r="Y57" s="31">
        <v>0</v>
      </c>
      <c r="Z57" s="33">
        <v>115.8</v>
      </c>
      <c r="AA57" s="33">
        <v>113.9</v>
      </c>
      <c r="AB57" s="111">
        <v>117.1</v>
      </c>
      <c r="AC57" s="112">
        <v>113</v>
      </c>
      <c r="AD57" s="112">
        <v>116.7</v>
      </c>
      <c r="AE57" s="33">
        <v>115.6</v>
      </c>
      <c r="AF57" s="30">
        <v>117</v>
      </c>
      <c r="AG57" s="31">
        <v>118</v>
      </c>
      <c r="AH57" s="31">
        <v>123.1</v>
      </c>
      <c r="AI57" s="31">
        <v>117.7</v>
      </c>
      <c r="AJ57" s="30">
        <v>121.5</v>
      </c>
    </row>
    <row r="58" spans="1:36" s="32" customFormat="1" ht="20.100000000000001" customHeight="1">
      <c r="A58" s="19" t="s">
        <v>91</v>
      </c>
      <c r="B58" s="20">
        <f>50510*($A$76)</f>
        <v>50.51</v>
      </c>
      <c r="C58" s="20">
        <f>46898*($A$76)</f>
        <v>46.898000000000003</v>
      </c>
      <c r="D58" s="78">
        <f>97562*($A$76)</f>
        <v>97.561999999999998</v>
      </c>
      <c r="E58" s="21">
        <f>208714*($A$76)</f>
        <v>208.714</v>
      </c>
      <c r="F58" s="22">
        <f>124381*($A$76)</f>
        <v>124.381</v>
      </c>
      <c r="G58" s="21">
        <f>197525*($A$76)</f>
        <v>197.52500000000001</v>
      </c>
      <c r="H58" s="22">
        <f>214344*($A$76)</f>
        <v>214.34399999999999</v>
      </c>
      <c r="I58" s="21">
        <f>222213*($A$76)</f>
        <v>222.21299999999999</v>
      </c>
      <c r="J58" s="22">
        <f>373736*($A$76)</f>
        <v>373.73599999999999</v>
      </c>
      <c r="K58" s="22">
        <f>279303*($A$76)</f>
        <v>279.303</v>
      </c>
      <c r="L58" s="21">
        <f>317953*($A$76)</f>
        <v>317.95300000000003</v>
      </c>
      <c r="M58" s="22">
        <f>294933*($A$76)</f>
        <v>294.93299999999999</v>
      </c>
      <c r="N58" s="22">
        <f>409504*($A$76)</f>
        <v>409.50400000000002</v>
      </c>
      <c r="O58" s="22">
        <f>458370*($A$76)</f>
        <v>458.37</v>
      </c>
      <c r="P58" s="21">
        <f>374955*($A$76)</f>
        <v>374.95499999999998</v>
      </c>
      <c r="Q58" s="22">
        <f>435427*($A$76)</f>
        <v>435.42700000000002</v>
      </c>
      <c r="R58" s="22">
        <f>436188*($A$76)</f>
        <v>436.18799999999999</v>
      </c>
      <c r="S58" s="22">
        <f>441676*($A$76)</f>
        <v>441.67599999999999</v>
      </c>
      <c r="T58" s="109">
        <f>472094*($A$76)</f>
        <v>472.09399999999999</v>
      </c>
      <c r="U58" s="110">
        <f>432897*($A$76)</f>
        <v>432.89699999999999</v>
      </c>
      <c r="V58" s="110">
        <f>428004*($A$76)</f>
        <v>428.00400000000002</v>
      </c>
      <c r="W58" s="110">
        <f>390829*($A$76)</f>
        <v>390.82900000000001</v>
      </c>
      <c r="X58" s="109">
        <f>413210*($A$76)</f>
        <v>413.21000000000004</v>
      </c>
      <c r="Y58" s="110">
        <f>418100*($A$76)</f>
        <v>418.1</v>
      </c>
      <c r="Z58" s="27">
        <v>1618.8</v>
      </c>
      <c r="AA58" s="27">
        <v>1505.3</v>
      </c>
      <c r="AB58" s="111">
        <v>1523</v>
      </c>
      <c r="AC58" s="124">
        <v>1333.5</v>
      </c>
      <c r="AD58" s="124">
        <v>1670.4</v>
      </c>
      <c r="AE58" s="27">
        <v>1431.5</v>
      </c>
      <c r="AF58" s="30">
        <v>1485.4</v>
      </c>
      <c r="AG58" s="53">
        <v>1711.4</v>
      </c>
      <c r="AH58" s="53">
        <v>1365.9</v>
      </c>
      <c r="AI58" s="53">
        <v>1338.1</v>
      </c>
      <c r="AJ58" s="30">
        <v>1569.5</v>
      </c>
    </row>
    <row r="59" spans="1:36" s="32" customFormat="1" ht="20.100000000000001" customHeight="1">
      <c r="A59" s="56" t="s">
        <v>89</v>
      </c>
      <c r="B59" s="52">
        <v>0</v>
      </c>
      <c r="C59" s="52">
        <v>0</v>
      </c>
      <c r="D59" s="143">
        <v>0</v>
      </c>
      <c r="E59" s="144">
        <v>0</v>
      </c>
      <c r="F59" s="53">
        <v>0</v>
      </c>
      <c r="G59" s="144">
        <v>0</v>
      </c>
      <c r="H59" s="53">
        <v>0</v>
      </c>
      <c r="I59" s="144">
        <v>0</v>
      </c>
      <c r="J59" s="53">
        <v>0</v>
      </c>
      <c r="K59" s="53">
        <v>0</v>
      </c>
      <c r="L59" s="144">
        <v>0</v>
      </c>
      <c r="M59" s="53">
        <v>0</v>
      </c>
      <c r="N59" s="53">
        <v>0</v>
      </c>
      <c r="O59" s="53">
        <v>0</v>
      </c>
      <c r="P59" s="144">
        <v>0</v>
      </c>
      <c r="Q59" s="53">
        <v>0</v>
      </c>
      <c r="R59" s="53">
        <v>0</v>
      </c>
      <c r="S59" s="53">
        <v>0</v>
      </c>
      <c r="T59" s="30">
        <v>0</v>
      </c>
      <c r="U59" s="31">
        <v>0</v>
      </c>
      <c r="V59" s="31">
        <v>0</v>
      </c>
      <c r="W59" s="31">
        <v>0</v>
      </c>
      <c r="X59" s="30">
        <v>0</v>
      </c>
      <c r="Y59" s="31">
        <v>0</v>
      </c>
      <c r="Z59" s="55">
        <v>0</v>
      </c>
      <c r="AA59" s="55">
        <v>0</v>
      </c>
      <c r="AB59" s="146">
        <v>87</v>
      </c>
      <c r="AC59" s="147">
        <v>99.7</v>
      </c>
      <c r="AD59" s="147">
        <v>79</v>
      </c>
      <c r="AE59" s="148">
        <v>57.1</v>
      </c>
      <c r="AF59" s="62">
        <v>72.900000000000006</v>
      </c>
      <c r="AG59" s="61">
        <v>25.8</v>
      </c>
      <c r="AH59" s="61">
        <v>3.5</v>
      </c>
      <c r="AI59" s="61">
        <v>1.8</v>
      </c>
      <c r="AJ59" s="62">
        <v>0</v>
      </c>
    </row>
    <row r="60" spans="1:36" s="32" customFormat="1" ht="20.100000000000001" customHeight="1">
      <c r="A60" s="19" t="s">
        <v>92</v>
      </c>
      <c r="B60" s="34">
        <v>0</v>
      </c>
      <c r="C60" s="34">
        <v>0</v>
      </c>
      <c r="D60" s="34">
        <v>0</v>
      </c>
      <c r="E60" s="34">
        <v>0</v>
      </c>
      <c r="F60" s="22">
        <f>1779*($A$76)</f>
        <v>1.7790000000000001</v>
      </c>
      <c r="G60" s="20">
        <v>0.4</v>
      </c>
      <c r="H60" s="22">
        <f>330*($A$76)</f>
        <v>0.33</v>
      </c>
      <c r="I60" s="34">
        <v>0</v>
      </c>
      <c r="J60" s="36">
        <v>0</v>
      </c>
      <c r="K60" s="36">
        <v>0</v>
      </c>
      <c r="L60" s="34">
        <v>0</v>
      </c>
      <c r="M60" s="36">
        <v>0</v>
      </c>
      <c r="N60" s="22">
        <f>23085*($A$76)</f>
        <v>23.085000000000001</v>
      </c>
      <c r="O60" s="22">
        <f>24895*($A$76)</f>
        <v>24.895</v>
      </c>
      <c r="P60" s="21">
        <f>29226*($A$76)</f>
        <v>29.225999999999999</v>
      </c>
      <c r="Q60" s="22">
        <f>29589*($A$76)</f>
        <v>29.589000000000002</v>
      </c>
      <c r="R60" s="22">
        <f>7799*($A$76)</f>
        <v>7.7990000000000004</v>
      </c>
      <c r="S60" s="22">
        <f>6782*($A$76)</f>
        <v>6.782</v>
      </c>
      <c r="T60" s="109">
        <f>7092*($A$76)</f>
        <v>7.0920000000000005</v>
      </c>
      <c r="U60" s="110">
        <f>1990*($A$76)</f>
        <v>1.99</v>
      </c>
      <c r="V60" s="110">
        <f>6510*($A$76)</f>
        <v>6.51</v>
      </c>
      <c r="W60" s="110">
        <f>14152*($A$76)</f>
        <v>14.152000000000001</v>
      </c>
      <c r="X60" s="109">
        <f>4520*($A$76)</f>
        <v>4.5200000000000005</v>
      </c>
      <c r="Y60" s="110">
        <f>12203*($A$76)</f>
        <v>12.202999999999999</v>
      </c>
      <c r="Z60" s="33">
        <v>43.7</v>
      </c>
      <c r="AA60" s="33">
        <v>22.1</v>
      </c>
      <c r="AB60" s="111">
        <v>48.028993427171699</v>
      </c>
      <c r="AC60" s="112">
        <v>22.5</v>
      </c>
      <c r="AD60" s="112">
        <v>132.69999999999999</v>
      </c>
      <c r="AE60" s="33">
        <v>96.3</v>
      </c>
      <c r="AF60" s="30">
        <v>176.1</v>
      </c>
      <c r="AG60" s="31">
        <v>29.2</v>
      </c>
      <c r="AH60" s="31">
        <v>39.1</v>
      </c>
      <c r="AI60" s="31">
        <v>21.967722325707697</v>
      </c>
      <c r="AJ60" s="30">
        <v>24.9</v>
      </c>
    </row>
    <row r="61" spans="1:36" s="32" customFormat="1" ht="20.100000000000001" customHeight="1">
      <c r="A61" s="19" t="s">
        <v>93</v>
      </c>
      <c r="B61" s="20">
        <f>31542*($A$76)</f>
        <v>31.542000000000002</v>
      </c>
      <c r="C61" s="20">
        <f>28472*($A$76)</f>
        <v>28.472000000000001</v>
      </c>
      <c r="D61" s="78">
        <f>21641*($A$76)</f>
        <v>21.641000000000002</v>
      </c>
      <c r="E61" s="21">
        <f>20032*($A$76)</f>
        <v>20.032</v>
      </c>
      <c r="F61" s="22">
        <f>19853*($A$76)</f>
        <v>19.853000000000002</v>
      </c>
      <c r="G61" s="21">
        <f>22447*($A$76)</f>
        <v>22.446999999999999</v>
      </c>
      <c r="H61" s="22">
        <f>19631*($A$76)</f>
        <v>19.631</v>
      </c>
      <c r="I61" s="21">
        <f>18800*($A$76)</f>
        <v>18.8</v>
      </c>
      <c r="J61" s="22">
        <f>17659*($A$76)</f>
        <v>17.658999999999999</v>
      </c>
      <c r="K61" s="22">
        <f>16126*($A$76)</f>
        <v>16.126000000000001</v>
      </c>
      <c r="L61" s="21">
        <f>15523*($A$76)</f>
        <v>15.523</v>
      </c>
      <c r="M61" s="22">
        <f>14124*($A$76)</f>
        <v>14.124000000000001</v>
      </c>
      <c r="N61" s="22">
        <f>15170*($A$76)</f>
        <v>15.17</v>
      </c>
      <c r="O61" s="22">
        <f>14960*($A$76)</f>
        <v>14.96</v>
      </c>
      <c r="P61" s="21">
        <f>12744*($A$76)</f>
        <v>12.744</v>
      </c>
      <c r="Q61" s="22">
        <f>12532*($A$76)</f>
        <v>12.532</v>
      </c>
      <c r="R61" s="22">
        <f>12125*($A$76)</f>
        <v>12.125</v>
      </c>
      <c r="S61" s="22">
        <f>12084*($A$76)</f>
        <v>12.084</v>
      </c>
      <c r="T61" s="109">
        <f>13259*($A$76)</f>
        <v>13.259</v>
      </c>
      <c r="U61" s="110">
        <f>13182*($A$76)</f>
        <v>13.182</v>
      </c>
      <c r="V61" s="110">
        <f>12551*($A$76)</f>
        <v>12.551</v>
      </c>
      <c r="W61" s="110">
        <f>12536*($A$76)</f>
        <v>12.536</v>
      </c>
      <c r="X61" s="109">
        <f>2727*($A$76)</f>
        <v>2.7269999999999999</v>
      </c>
      <c r="Y61" s="110">
        <f>2843*($A$76)</f>
        <v>2.843</v>
      </c>
      <c r="Z61" s="33">
        <v>2.6</v>
      </c>
      <c r="AA61" s="33">
        <v>2.7</v>
      </c>
      <c r="AB61" s="111">
        <v>1.4</v>
      </c>
      <c r="AC61" s="112">
        <v>1.4</v>
      </c>
      <c r="AD61" s="145" t="s">
        <v>94</v>
      </c>
      <c r="AE61" s="145" t="s">
        <v>94</v>
      </c>
      <c r="AF61" s="149" t="s">
        <v>94</v>
      </c>
      <c r="AG61" s="145" t="s">
        <v>94</v>
      </c>
      <c r="AH61" s="145" t="s">
        <v>94</v>
      </c>
      <c r="AI61" s="145" t="s">
        <v>87</v>
      </c>
      <c r="AJ61" s="149" t="s">
        <v>87</v>
      </c>
    </row>
    <row r="62" spans="1:36" s="32" customFormat="1" ht="20.100000000000001" customHeight="1">
      <c r="A62" s="19" t="s">
        <v>86</v>
      </c>
      <c r="B62" s="20">
        <f>27995*($A$76)</f>
        <v>27.995000000000001</v>
      </c>
      <c r="C62" s="20">
        <f>35645*($A$76)</f>
        <v>35.645000000000003</v>
      </c>
      <c r="D62" s="78">
        <f>56799*($A$76)</f>
        <v>56.798999999999999</v>
      </c>
      <c r="E62" s="21">
        <f>81468*($A$76)</f>
        <v>81.468000000000004</v>
      </c>
      <c r="F62" s="22">
        <f>106824*($A$76)</f>
        <v>106.824</v>
      </c>
      <c r="G62" s="21">
        <f>119265*($A$76)</f>
        <v>119.265</v>
      </c>
      <c r="H62" s="22">
        <f>133273*($A$76)</f>
        <v>133.273</v>
      </c>
      <c r="I62" s="21">
        <f>135062*($A$76)</f>
        <v>135.06200000000001</v>
      </c>
      <c r="J62" s="22">
        <f>149981*($A$76)</f>
        <v>149.98099999999999</v>
      </c>
      <c r="K62" s="22">
        <f>159197*($A$76)</f>
        <v>159.197</v>
      </c>
      <c r="L62" s="21">
        <f>166432*($A$76)</f>
        <v>166.43200000000002</v>
      </c>
      <c r="M62" s="22">
        <f>171191*($A$76)</f>
        <v>171.191</v>
      </c>
      <c r="N62" s="22">
        <f>171189*($A$76)</f>
        <v>171.18899999999999</v>
      </c>
      <c r="O62" s="22">
        <f>174847*($A$76)</f>
        <v>174.84700000000001</v>
      </c>
      <c r="P62" s="21">
        <f>199418*($A$76)</f>
        <v>199.41800000000001</v>
      </c>
      <c r="Q62" s="22">
        <f>188402*($A$76)</f>
        <v>188.40200000000002</v>
      </c>
      <c r="R62" s="22">
        <f>209950*($A$76)</f>
        <v>209.95000000000002</v>
      </c>
      <c r="S62" s="22">
        <f>210563*($A$76)</f>
        <v>210.56300000000002</v>
      </c>
      <c r="T62" s="109">
        <f>201238*($A$76)</f>
        <v>201.238</v>
      </c>
      <c r="U62" s="110">
        <f>207890*($A$76)</f>
        <v>207.89000000000001</v>
      </c>
      <c r="V62" s="110">
        <f>204442*($A$76)</f>
        <v>204.44200000000001</v>
      </c>
      <c r="W62" s="110">
        <f>210688*($A$76)</f>
        <v>210.68800000000002</v>
      </c>
      <c r="X62" s="109">
        <f>209485*($A$76)</f>
        <v>209.48500000000001</v>
      </c>
      <c r="Y62" s="110">
        <f>228170*($A$76)</f>
        <v>228.17000000000002</v>
      </c>
      <c r="Z62" s="33">
        <v>678</v>
      </c>
      <c r="AA62" s="33">
        <v>672.7</v>
      </c>
      <c r="AB62" s="111">
        <v>683.9</v>
      </c>
      <c r="AC62" s="112">
        <v>670.3</v>
      </c>
      <c r="AD62" s="112">
        <v>672</v>
      </c>
      <c r="AE62" s="33">
        <v>680.9</v>
      </c>
      <c r="AF62" s="30">
        <v>676.1</v>
      </c>
      <c r="AG62" s="31">
        <v>665</v>
      </c>
      <c r="AH62" s="31">
        <v>676.8</v>
      </c>
      <c r="AI62" s="31">
        <v>660.84343092999995</v>
      </c>
      <c r="AJ62" s="30">
        <v>647.9</v>
      </c>
    </row>
    <row r="63" spans="1:36" s="32" customFormat="1" ht="20.100000000000001" customHeight="1" thickBot="1">
      <c r="A63" s="19" t="s">
        <v>95</v>
      </c>
      <c r="B63" s="34">
        <v>0</v>
      </c>
      <c r="C63" s="34">
        <v>0</v>
      </c>
      <c r="D63" s="78">
        <f>1171*($A$76)</f>
        <v>1.171</v>
      </c>
      <c r="E63" s="34">
        <v>0</v>
      </c>
      <c r="F63" s="36">
        <v>0</v>
      </c>
      <c r="G63" s="34">
        <v>0</v>
      </c>
      <c r="H63" s="36">
        <v>0</v>
      </c>
      <c r="I63" s="34">
        <v>0</v>
      </c>
      <c r="J63" s="36">
        <v>0</v>
      </c>
      <c r="K63" s="36">
        <v>0</v>
      </c>
      <c r="L63" s="34">
        <v>0</v>
      </c>
      <c r="M63" s="36">
        <v>0</v>
      </c>
      <c r="N63" s="36">
        <v>0</v>
      </c>
      <c r="O63" s="36">
        <v>0</v>
      </c>
      <c r="P63" s="34">
        <v>0</v>
      </c>
      <c r="Q63" s="36">
        <v>0</v>
      </c>
      <c r="R63" s="36">
        <v>0</v>
      </c>
      <c r="S63" s="36">
        <v>0</v>
      </c>
      <c r="T63" s="34">
        <v>0</v>
      </c>
      <c r="U63" s="36">
        <v>0</v>
      </c>
      <c r="V63" s="36">
        <v>0</v>
      </c>
      <c r="W63" s="36">
        <v>0</v>
      </c>
      <c r="X63" s="34">
        <v>0</v>
      </c>
      <c r="Y63" s="36">
        <v>0</v>
      </c>
      <c r="Z63" s="36">
        <v>0</v>
      </c>
      <c r="AA63" s="36">
        <v>0</v>
      </c>
      <c r="AB63" s="34">
        <v>0</v>
      </c>
      <c r="AC63" s="36">
        <v>0</v>
      </c>
      <c r="AD63" s="36">
        <v>0</v>
      </c>
      <c r="AE63" s="36">
        <v>0</v>
      </c>
      <c r="AF63" s="52">
        <v>0</v>
      </c>
      <c r="AG63" s="54">
        <v>0</v>
      </c>
      <c r="AH63" s="54">
        <v>0</v>
      </c>
      <c r="AI63" s="54">
        <v>0</v>
      </c>
      <c r="AJ63" s="52">
        <v>0</v>
      </c>
    </row>
    <row r="64" spans="1:36" s="77" customFormat="1" ht="20.100000000000001" customHeight="1" thickBot="1">
      <c r="A64" s="131" t="s">
        <v>96</v>
      </c>
      <c r="B64" s="68">
        <f>SUM(B54:B63)</f>
        <v>140.40199999999999</v>
      </c>
      <c r="C64" s="68">
        <f t="shared" ref="C64:AA64" si="31">SUM(C54:C63)</f>
        <v>358.39099999999996</v>
      </c>
      <c r="D64" s="68">
        <f t="shared" si="31"/>
        <v>385.25700000000001</v>
      </c>
      <c r="E64" s="68">
        <f t="shared" si="31"/>
        <v>399.149</v>
      </c>
      <c r="F64" s="69">
        <f t="shared" si="31"/>
        <v>346.09100000000001</v>
      </c>
      <c r="G64" s="68">
        <f t="shared" si="31"/>
        <v>406.44599999999997</v>
      </c>
      <c r="H64" s="69">
        <f t="shared" si="31"/>
        <v>431.70100000000002</v>
      </c>
      <c r="I64" s="68">
        <f t="shared" si="31"/>
        <v>423.67900000000003</v>
      </c>
      <c r="J64" s="69">
        <f t="shared" si="31"/>
        <v>562.19000000000005</v>
      </c>
      <c r="K64" s="69">
        <f t="shared" si="31"/>
        <v>526.74099999999999</v>
      </c>
      <c r="L64" s="68">
        <f t="shared" si="31"/>
        <v>518.44000000000005</v>
      </c>
      <c r="M64" s="69">
        <f t="shared" si="31"/>
        <v>645.32600000000002</v>
      </c>
      <c r="N64" s="69">
        <f t="shared" si="31"/>
        <v>939.55199999999991</v>
      </c>
      <c r="O64" s="69">
        <f t="shared" si="31"/>
        <v>1010.489</v>
      </c>
      <c r="P64" s="68">
        <f t="shared" si="31"/>
        <v>968.42500000000007</v>
      </c>
      <c r="Q64" s="133">
        <f t="shared" si="31"/>
        <v>1017.3860000000002</v>
      </c>
      <c r="R64" s="133">
        <f t="shared" si="31"/>
        <v>1033.443</v>
      </c>
      <c r="S64" s="133">
        <f t="shared" si="31"/>
        <v>1009.7019999999999</v>
      </c>
      <c r="T64" s="150">
        <f t="shared" si="31"/>
        <v>1066.78</v>
      </c>
      <c r="U64" s="151">
        <f t="shared" si="31"/>
        <v>1007.745</v>
      </c>
      <c r="V64" s="151">
        <f t="shared" si="31"/>
        <v>1018.1</v>
      </c>
      <c r="W64" s="151">
        <f t="shared" si="31"/>
        <v>945.28899999999999</v>
      </c>
      <c r="X64" s="150">
        <f t="shared" si="31"/>
        <v>974.83100000000002</v>
      </c>
      <c r="Y64" s="151">
        <f t="shared" si="31"/>
        <v>1003.5449999999998</v>
      </c>
      <c r="Z64" s="72">
        <f t="shared" si="31"/>
        <v>3990.3999999999992</v>
      </c>
      <c r="AA64" s="72">
        <f t="shared" si="31"/>
        <v>4126.7</v>
      </c>
      <c r="AB64" s="152">
        <f t="shared" ref="AB64:AG64" si="32">SUM(AB54:AB63)-AB59</f>
        <v>4167.2289934271712</v>
      </c>
      <c r="AC64" s="72">
        <f t="shared" si="32"/>
        <v>4149.8</v>
      </c>
      <c r="AD64" s="72">
        <f t="shared" si="32"/>
        <v>4244.8</v>
      </c>
      <c r="AE64" s="72">
        <f t="shared" si="32"/>
        <v>7899.8</v>
      </c>
      <c r="AF64" s="75">
        <f t="shared" si="32"/>
        <v>8466.5000000000018</v>
      </c>
      <c r="AG64" s="76">
        <f t="shared" si="32"/>
        <v>4162.5999999999995</v>
      </c>
      <c r="AH64" s="76">
        <f t="shared" ref="AH64:AI64" si="33">SUM(AH54:AH63)-AH59</f>
        <v>3503.3999999999996</v>
      </c>
      <c r="AI64" s="76">
        <f t="shared" si="33"/>
        <v>3454.8111532557077</v>
      </c>
      <c r="AJ64" s="75">
        <f t="shared" ref="AJ64" si="34">SUM(AJ54:AJ63)-AJ59</f>
        <v>3681.2000000000003</v>
      </c>
    </row>
    <row r="65" spans="1:36" s="77" customFormat="1" ht="20.100000000000001" customHeight="1" thickBot="1">
      <c r="A65" s="131" t="s">
        <v>97</v>
      </c>
      <c r="B65" s="153">
        <f>B53+B64</f>
        <v>351.25599999999997</v>
      </c>
      <c r="C65" s="153">
        <f t="shared" ref="C65:S65" si="35">C53+C64</f>
        <v>360.28899999999999</v>
      </c>
      <c r="D65" s="153">
        <f t="shared" si="35"/>
        <v>415.976</v>
      </c>
      <c r="E65" s="153">
        <f t="shared" si="35"/>
        <v>534.06299999999999</v>
      </c>
      <c r="F65" s="154">
        <f t="shared" si="35"/>
        <v>426.33699999999999</v>
      </c>
      <c r="G65" s="153">
        <f t="shared" si="35"/>
        <v>463.79299999999995</v>
      </c>
      <c r="H65" s="154">
        <f t="shared" si="35"/>
        <v>460.60400000000004</v>
      </c>
      <c r="I65" s="153">
        <f t="shared" si="35"/>
        <v>452.43300000000005</v>
      </c>
      <c r="J65" s="154">
        <f t="shared" si="35"/>
        <v>623.07900000000006</v>
      </c>
      <c r="K65" s="154">
        <f t="shared" si="35"/>
        <v>593.88300000000004</v>
      </c>
      <c r="L65" s="153">
        <f t="shared" si="35"/>
        <v>587.25700000000006</v>
      </c>
      <c r="M65" s="154">
        <f t="shared" si="35"/>
        <v>722.51800000000003</v>
      </c>
      <c r="N65" s="155">
        <f t="shared" si="35"/>
        <v>3377.4880000000003</v>
      </c>
      <c r="O65" s="155">
        <f t="shared" si="35"/>
        <v>3545.0550000000003</v>
      </c>
      <c r="P65" s="156">
        <f t="shared" si="35"/>
        <v>3452.5050000000001</v>
      </c>
      <c r="Q65" s="155">
        <f t="shared" si="35"/>
        <v>3411.9870000000001</v>
      </c>
      <c r="R65" s="155">
        <f t="shared" si="35"/>
        <v>3405.5320000000002</v>
      </c>
      <c r="S65" s="155">
        <f t="shared" si="35"/>
        <v>3159.9589999999994</v>
      </c>
      <c r="T65" s="150">
        <f t="shared" ref="T65:AJ65" si="36">T64+T53</f>
        <v>3092.942</v>
      </c>
      <c r="U65" s="151">
        <f t="shared" si="36"/>
        <v>3067.306</v>
      </c>
      <c r="V65" s="151">
        <f t="shared" si="36"/>
        <v>2945.4119999999998</v>
      </c>
      <c r="W65" s="151">
        <f t="shared" si="36"/>
        <v>2772.4030000000002</v>
      </c>
      <c r="X65" s="150">
        <f t="shared" si="36"/>
        <v>2675.0169999999998</v>
      </c>
      <c r="Y65" s="151">
        <f t="shared" si="36"/>
        <v>2742.8450000000003</v>
      </c>
      <c r="Z65" s="72">
        <f t="shared" si="36"/>
        <v>18735.399999999998</v>
      </c>
      <c r="AA65" s="72">
        <f t="shared" si="36"/>
        <v>18350.5</v>
      </c>
      <c r="AB65" s="152">
        <f t="shared" si="36"/>
        <v>18260.528993427175</v>
      </c>
      <c r="AC65" s="72">
        <f t="shared" si="36"/>
        <v>17777</v>
      </c>
      <c r="AD65" s="72">
        <f t="shared" si="36"/>
        <v>17584</v>
      </c>
      <c r="AE65" s="72">
        <f t="shared" si="36"/>
        <v>16083.5</v>
      </c>
      <c r="AF65" s="75">
        <f t="shared" si="36"/>
        <v>16240.000000000002</v>
      </c>
      <c r="AG65" s="76">
        <f t="shared" si="36"/>
        <v>17950.3</v>
      </c>
      <c r="AH65" s="76">
        <f t="shared" si="36"/>
        <v>16819.5</v>
      </c>
      <c r="AI65" s="76">
        <f t="shared" si="36"/>
        <v>16459.611153255708</v>
      </c>
      <c r="AJ65" s="75">
        <f t="shared" si="36"/>
        <v>16351.700000000003</v>
      </c>
    </row>
    <row r="66" spans="1:36" s="166" customFormat="1" ht="22.5" customHeight="1" thickBot="1">
      <c r="A66" s="157" t="s">
        <v>98</v>
      </c>
      <c r="B66" s="158">
        <f>B65+B44</f>
        <v>257.64799999999997</v>
      </c>
      <c r="C66" s="158">
        <f t="shared" ref="C66:AJ66" si="37">C65+C44</f>
        <v>241.97799999999998</v>
      </c>
      <c r="D66" s="158">
        <f t="shared" si="37"/>
        <v>353.358</v>
      </c>
      <c r="E66" s="158">
        <f t="shared" si="37"/>
        <v>595.20299999999997</v>
      </c>
      <c r="F66" s="159">
        <f t="shared" si="37"/>
        <v>630.44000000000005</v>
      </c>
      <c r="G66" s="158">
        <f t="shared" si="37"/>
        <v>757.13099999999986</v>
      </c>
      <c r="H66" s="159">
        <f t="shared" si="37"/>
        <v>681.41300000000001</v>
      </c>
      <c r="I66" s="158">
        <f t="shared" si="37"/>
        <v>774.846</v>
      </c>
      <c r="J66" s="159">
        <f t="shared" si="37"/>
        <v>945.67500000000007</v>
      </c>
      <c r="K66" s="159">
        <f t="shared" si="37"/>
        <v>984.87200000000007</v>
      </c>
      <c r="L66" s="158">
        <f t="shared" si="37"/>
        <v>1015.1950000000001</v>
      </c>
      <c r="M66" s="160">
        <f t="shared" si="37"/>
        <v>1226.854</v>
      </c>
      <c r="N66" s="160">
        <f t="shared" si="37"/>
        <v>5248.0750000000007</v>
      </c>
      <c r="O66" s="160">
        <f t="shared" si="37"/>
        <v>5363.8690000000006</v>
      </c>
      <c r="P66" s="161">
        <f t="shared" si="37"/>
        <v>5348.5480000000007</v>
      </c>
      <c r="Q66" s="160">
        <f t="shared" si="37"/>
        <v>5502.7539999999999</v>
      </c>
      <c r="R66" s="160">
        <f t="shared" si="37"/>
        <v>5597.8010000000004</v>
      </c>
      <c r="S66" s="160">
        <f t="shared" si="37"/>
        <v>5514.8739999999998</v>
      </c>
      <c r="T66" s="162">
        <f t="shared" si="37"/>
        <v>5561.3450000000003</v>
      </c>
      <c r="U66" s="163">
        <f t="shared" si="37"/>
        <v>5629.4740000000002</v>
      </c>
      <c r="V66" s="163">
        <f t="shared" si="37"/>
        <v>5592.7070000000003</v>
      </c>
      <c r="W66" s="163">
        <f t="shared" si="37"/>
        <v>5597.9809999999998</v>
      </c>
      <c r="X66" s="162">
        <f t="shared" si="37"/>
        <v>5676.23</v>
      </c>
      <c r="Y66" s="163">
        <f t="shared" si="37"/>
        <v>5851.1939999999995</v>
      </c>
      <c r="Z66" s="164">
        <f t="shared" si="37"/>
        <v>27827.1</v>
      </c>
      <c r="AA66" s="164">
        <f t="shared" si="37"/>
        <v>27481.200000000001</v>
      </c>
      <c r="AB66" s="165">
        <f t="shared" si="37"/>
        <v>27338.728993427176</v>
      </c>
      <c r="AC66" s="164">
        <f t="shared" si="37"/>
        <v>27088.9</v>
      </c>
      <c r="AD66" s="164">
        <f t="shared" si="37"/>
        <v>27141.800000000003</v>
      </c>
      <c r="AE66" s="164">
        <f t="shared" si="37"/>
        <v>26143.5</v>
      </c>
      <c r="AF66" s="99">
        <f t="shared" si="37"/>
        <v>26490.100000000002</v>
      </c>
      <c r="AG66" s="100">
        <f t="shared" si="37"/>
        <v>28355.5</v>
      </c>
      <c r="AH66" s="100">
        <f t="shared" si="37"/>
        <v>27581.1</v>
      </c>
      <c r="AI66" s="100">
        <f t="shared" si="37"/>
        <v>27493.111153255708</v>
      </c>
      <c r="AJ66" s="99">
        <f t="shared" si="37"/>
        <v>27729.300000000003</v>
      </c>
    </row>
    <row r="67" spans="1:36" s="168" customFormat="1">
      <c r="A67" s="167"/>
      <c r="B67" s="167"/>
      <c r="C67" s="167"/>
      <c r="D67" s="167"/>
      <c r="E67" s="167"/>
      <c r="F67" s="167"/>
      <c r="H67" s="169"/>
      <c r="I67" s="169"/>
      <c r="J67" s="169"/>
      <c r="Z67" s="170"/>
      <c r="AA67" s="170"/>
      <c r="AE67" s="170"/>
    </row>
    <row r="68" spans="1:36" s="168" customFormat="1">
      <c r="A68" s="167"/>
      <c r="B68" s="167"/>
      <c r="C68" s="167"/>
      <c r="D68" s="167"/>
      <c r="E68" s="167"/>
      <c r="F68" s="167"/>
      <c r="H68" s="171"/>
      <c r="I68" s="171"/>
      <c r="J68" s="171"/>
      <c r="Z68" s="170"/>
      <c r="AA68" s="170"/>
      <c r="AE68" s="170"/>
    </row>
    <row r="69" spans="1:36" s="168" customFormat="1">
      <c r="A69" s="172" t="s">
        <v>99</v>
      </c>
      <c r="B69" s="172"/>
      <c r="C69" s="172"/>
      <c r="D69" s="172"/>
      <c r="E69" s="172"/>
      <c r="F69" s="172"/>
      <c r="G69" s="172"/>
      <c r="H69" s="173"/>
      <c r="I69" s="174"/>
      <c r="J69" s="174"/>
      <c r="Z69" s="170"/>
      <c r="AA69" s="170"/>
      <c r="AE69" s="170"/>
    </row>
    <row r="70" spans="1:36" s="168" customFormat="1" ht="14.25">
      <c r="A70" s="175" t="s">
        <v>100</v>
      </c>
      <c r="B70" s="175"/>
      <c r="C70" s="175"/>
      <c r="D70" s="175"/>
      <c r="E70" s="175"/>
      <c r="F70" s="175"/>
      <c r="G70" s="175"/>
      <c r="H70" s="171"/>
      <c r="I70" s="171"/>
      <c r="J70" s="171"/>
      <c r="Z70" s="170"/>
      <c r="AA70" s="170"/>
      <c r="AE70" s="170"/>
    </row>
    <row r="71" spans="1:36" s="168" customFormat="1" ht="14.25">
      <c r="A71" s="175" t="s">
        <v>101</v>
      </c>
      <c r="B71" s="175"/>
      <c r="C71" s="175"/>
      <c r="D71" s="175"/>
      <c r="E71" s="175"/>
      <c r="F71" s="175"/>
      <c r="G71" s="175"/>
      <c r="H71" s="174"/>
      <c r="I71" s="174"/>
      <c r="J71" s="176"/>
      <c r="Z71" s="170"/>
      <c r="AA71" s="170"/>
      <c r="AE71" s="170"/>
    </row>
    <row r="72" spans="1:36" s="168" customFormat="1" ht="22.5" customHeight="1">
      <c r="A72" s="175" t="s">
        <v>102</v>
      </c>
      <c r="B72" s="175"/>
      <c r="C72" s="175"/>
      <c r="D72" s="175"/>
      <c r="E72" s="175"/>
      <c r="F72" s="175"/>
      <c r="G72" s="175"/>
      <c r="H72" s="169"/>
      <c r="I72" s="169"/>
      <c r="J72" s="169"/>
      <c r="Z72" s="170"/>
      <c r="AA72" s="170"/>
      <c r="AE72" s="170"/>
    </row>
    <row r="73" spans="1:36" s="168" customFormat="1" ht="14.25">
      <c r="A73" s="175" t="s">
        <v>103</v>
      </c>
      <c r="B73" s="175"/>
      <c r="C73" s="175"/>
      <c r="D73" s="175"/>
      <c r="E73" s="175"/>
      <c r="F73" s="175"/>
      <c r="G73" s="175"/>
      <c r="H73" s="169"/>
      <c r="I73" s="169"/>
      <c r="J73" s="169"/>
      <c r="Z73" s="170"/>
      <c r="AA73" s="170"/>
      <c r="AE73" s="170"/>
    </row>
    <row r="74" spans="1:36" s="168" customFormat="1">
      <c r="H74" s="169"/>
      <c r="I74" s="169"/>
      <c r="J74" s="169"/>
      <c r="Z74" s="170"/>
      <c r="AA74" s="170"/>
      <c r="AE74" s="170"/>
    </row>
    <row r="76" spans="1:36">
      <c r="A76" s="177">
        <f>1/1000</f>
        <v>1E-3</v>
      </c>
    </row>
    <row r="77" spans="1:36">
      <c r="A77" s="177">
        <f>$A$76</f>
        <v>1E-3</v>
      </c>
    </row>
  </sheetData>
  <mergeCells count="1">
    <mergeCell ref="A69:G6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2017-03-16T07:47:35Z</dcterms:created>
  <dcterms:modified xsi:type="dcterms:W3CDTF">2017-03-16T07:48:29Z</dcterms:modified>
</cp:coreProperties>
</file>